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5/9.9 - CA 4% 3rd Round 2025/EaRTH Center/"/>
    </mc:Choice>
  </mc:AlternateContent>
  <xr:revisionPtr revIDLastSave="0" documentId="8_{8D9EF75A-021E-435E-B3F1-D8CFE5F33BC4}" xr6:coauthVersionLast="47" xr6:coauthVersionMax="47" xr10:uidLastSave="{00000000-0000-0000-0000-000000000000}"/>
  <bookViews>
    <workbookView xWindow="31125" yWindow="585" windowWidth="21075" windowHeight="15345"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15 Year Pro Forma" sheetId="7" r:id="rId11"/>
    <sheet name="Subsidy Contract Calculation" sheetId="8"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0">'15 Year Pro Forma'!$A$1:$AH$77</definedName>
    <definedName name="_xlnm.Print_Area" localSheetId="3">Application!$A$913:$AF$950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5" i="3" l="1"/>
  <c r="C59" i="7"/>
  <c r="L40" i="4" l="1"/>
  <c r="I30" i="4"/>
  <c r="L83" i="4"/>
  <c r="L53" i="4"/>
  <c r="O730" i="3"/>
  <c r="O729" i="3"/>
  <c r="O727" i="3"/>
  <c r="AF1027" i="3"/>
  <c r="S99" i="4"/>
  <c r="S93" i="4"/>
  <c r="S92" i="4"/>
  <c r="S91" i="4"/>
  <c r="S90" i="4"/>
  <c r="S89" i="4"/>
  <c r="S87" i="4"/>
  <c r="S86" i="4"/>
  <c r="S85" i="4"/>
  <c r="S84" i="4"/>
  <c r="S80" i="4"/>
  <c r="S79" i="4"/>
  <c r="S69" i="4"/>
  <c r="S68" i="4"/>
  <c r="S67" i="4"/>
  <c r="S66" i="4"/>
  <c r="S65" i="4"/>
  <c r="S53" i="4"/>
  <c r="S52" i="4"/>
  <c r="S51" i="4"/>
  <c r="S50" i="4"/>
  <c r="S48" i="4"/>
  <c r="S47" i="4"/>
  <c r="S46" i="4"/>
  <c r="S43" i="4"/>
  <c r="S41" i="4"/>
  <c r="S40" i="4"/>
  <c r="S36" i="4"/>
  <c r="S35" i="4"/>
  <c r="S34" i="4"/>
  <c r="S33" i="4"/>
  <c r="S32" i="4"/>
  <c r="S31" i="4"/>
  <c r="S30" i="4"/>
  <c r="S29" i="4"/>
  <c r="H99" i="4"/>
  <c r="F30" i="4"/>
  <c r="L52" i="4"/>
  <c r="L51" i="4"/>
  <c r="L50" i="4"/>
  <c r="L49" i="4"/>
  <c r="L48" i="4"/>
  <c r="L47" i="4"/>
  <c r="L46" i="4"/>
  <c r="L58" i="4"/>
  <c r="L57" i="4"/>
  <c r="L69" i="4"/>
  <c r="L68" i="4"/>
  <c r="L67" i="4"/>
  <c r="L66" i="4"/>
  <c r="L65" i="4"/>
  <c r="L75" i="4"/>
  <c r="L72" i="4"/>
  <c r="L92" i="4"/>
  <c r="L91" i="4"/>
  <c r="L90" i="4"/>
  <c r="L88" i="4"/>
  <c r="L87" i="4"/>
  <c r="L85" i="4"/>
  <c r="L84" i="4"/>
  <c r="L45" i="4"/>
  <c r="I99" i="4"/>
  <c r="I95" i="4"/>
  <c r="I94" i="4"/>
  <c r="I93" i="4"/>
  <c r="I92" i="4"/>
  <c r="I91" i="4"/>
  <c r="I90" i="4"/>
  <c r="I89" i="4"/>
  <c r="I88" i="4"/>
  <c r="I87" i="4"/>
  <c r="I86" i="4"/>
  <c r="I85" i="4"/>
  <c r="I84" i="4"/>
  <c r="I83" i="4"/>
  <c r="I80" i="4"/>
  <c r="I79" i="4"/>
  <c r="I76" i="4"/>
  <c r="I75" i="4"/>
  <c r="I74" i="4"/>
  <c r="I73" i="4"/>
  <c r="I72" i="4"/>
  <c r="I69" i="4"/>
  <c r="I68" i="4"/>
  <c r="I67" i="4"/>
  <c r="I66" i="4"/>
  <c r="I65" i="4"/>
  <c r="I61" i="4"/>
  <c r="I60" i="4"/>
  <c r="I59" i="4"/>
  <c r="I58" i="4"/>
  <c r="I57" i="4"/>
  <c r="I56" i="4"/>
  <c r="I53" i="4"/>
  <c r="I52" i="4"/>
  <c r="I51" i="4"/>
  <c r="I50" i="4"/>
  <c r="I49" i="4"/>
  <c r="I48" i="4"/>
  <c r="I47" i="4"/>
  <c r="I46" i="4"/>
  <c r="I45" i="4"/>
  <c r="I43" i="4"/>
  <c r="I41" i="4"/>
  <c r="I40" i="4"/>
  <c r="I29" i="4"/>
  <c r="I31" i="4"/>
  <c r="I32" i="4"/>
  <c r="I33" i="4"/>
  <c r="I34" i="4"/>
  <c r="I35" i="4"/>
  <c r="I36" i="4"/>
  <c r="I37" i="4"/>
  <c r="AA950" i="3"/>
  <c r="AA949" i="3"/>
  <c r="AA948" i="3"/>
  <c r="AA947" i="3"/>
  <c r="AA919" i="3"/>
  <c r="AA918" i="3"/>
  <c r="AC886" i="3"/>
  <c r="O728" i="3"/>
  <c r="O726" i="3"/>
  <c r="O724" i="3"/>
  <c r="O725" i="3"/>
  <c r="O723" i="3"/>
  <c r="O722" i="3"/>
  <c r="O721" i="3"/>
  <c r="O720" i="3"/>
  <c r="O719" i="3"/>
  <c r="O718" i="3"/>
  <c r="AB266" i="20" l="1"/>
  <c r="AD201" i="20"/>
  <c r="AD200" i="20"/>
  <c r="AD199" i="20"/>
  <c r="AG448" i="3"/>
  <c r="AG442"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5" i="21"/>
  <c r="T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C70" i="13" s="1"/>
  <c r="B61" i="13"/>
  <c r="B60" i="13"/>
  <c r="C60" i="13" s="1"/>
  <c r="B59" i="13"/>
  <c r="C59" i="13" s="1"/>
  <c r="B58" i="13"/>
  <c r="C58" i="13" s="1"/>
  <c r="B57" i="13"/>
  <c r="C57" i="13" s="1"/>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3" i="4"/>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B93" i="4"/>
  <c r="E93" i="4" s="1"/>
  <c r="R93" i="4" s="1"/>
  <c r="B94" i="4"/>
  <c r="E94" i="4" s="1"/>
  <c r="R94" i="4" s="1"/>
  <c r="B95" i="4"/>
  <c r="E95" i="4" s="1"/>
  <c r="R95" i="4" s="1"/>
  <c r="F96" i="4"/>
  <c r="G96" i="4"/>
  <c r="H96" i="4"/>
  <c r="I96" i="4"/>
  <c r="K96" i="4"/>
  <c r="Q96" i="4"/>
  <c r="B101" i="4"/>
  <c r="E101" i="4" s="1"/>
  <c r="R101" i="4" s="1"/>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F81" i="13" l="1"/>
  <c r="C42" i="13"/>
  <c r="F42" i="13"/>
  <c r="C77" i="13"/>
  <c r="F38" i="13"/>
  <c r="E104" i="4"/>
  <c r="C62" i="13"/>
  <c r="C54" i="13"/>
  <c r="C81" i="13"/>
  <c r="F54" i="13"/>
  <c r="C38" i="13"/>
  <c r="F96" i="13"/>
  <c r="E92" i="4"/>
  <c r="R92" i="4" s="1"/>
  <c r="E38" i="4"/>
  <c r="E42" i="4"/>
  <c r="C96" i="13"/>
  <c r="R99" i="4"/>
  <c r="R104" i="4" s="1"/>
  <c r="E77" i="4"/>
  <c r="E81" i="4"/>
  <c r="E70" i="4"/>
  <c r="E62" i="4"/>
  <c r="E54" i="4"/>
  <c r="R45" i="4"/>
  <c r="R54" i="4"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R11" i="4"/>
  <c r="G58" i="7"/>
  <c r="I63" i="4"/>
  <c r="I97" i="4" s="1"/>
  <c r="I105" i="4" s="1"/>
  <c r="L63" i="4"/>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60"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c r="F105" i="13" s="1"/>
  <c r="F107" i="13" s="1"/>
  <c r="C63" i="13"/>
  <c r="E63" i="4"/>
  <c r="C97" i="13"/>
  <c r="C105" i="13" s="1"/>
  <c r="D105" i="11"/>
  <c r="AJ621" i="20"/>
  <c r="G94" i="21"/>
  <c r="D43" i="11"/>
  <c r="D71" i="11"/>
  <c r="B12" i="4"/>
  <c r="N195" i="23"/>
  <c r="D55" i="11"/>
  <c r="D82" i="11"/>
  <c r="D39" i="11"/>
  <c r="D78" i="11"/>
  <c r="R12" i="4"/>
  <c r="D12" i="11"/>
  <c r="D63" i="11"/>
  <c r="B13" i="11"/>
  <c r="C64" i="11"/>
  <c r="C98" i="11" s="1"/>
  <c r="B64" i="11"/>
  <c r="B98" i="11" s="1"/>
  <c r="B106" i="11" s="1"/>
  <c r="B63" i="4"/>
  <c r="R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3" i="21" s="1"/>
  <c r="P33" i="21" s="1" a="1"/>
  <c r="P33" i="21" s="1"/>
  <c r="S3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P21" i="21" s="1" a="1"/>
  <c r="P21" i="21" s="1"/>
  <c r="S21" i="21" s="1"/>
  <c r="O22" i="21"/>
  <c r="O25" i="21"/>
  <c r="O32" i="21"/>
  <c r="P32" i="21" s="1" a="1"/>
  <c r="P32" i="21" s="1"/>
  <c r="S32" i="21" s="1"/>
  <c r="O23" i="21"/>
  <c r="P23" i="21" s="1" a="1"/>
  <c r="P23" i="21" s="1"/>
  <c r="S23" i="21" s="1"/>
  <c r="O30" i="21"/>
  <c r="O24" i="21"/>
  <c r="P24" i="21" s="1" a="1"/>
  <c r="P24" i="21" s="1"/>
  <c r="S24" i="21" s="1"/>
  <c r="O28" i="21"/>
  <c r="P28" i="21" s="1" a="1"/>
  <c r="P28" i="21" s="1"/>
  <c r="S28" i="21" s="1"/>
  <c r="O29" i="21"/>
  <c r="P29" i="21" s="1" a="1"/>
  <c r="P29" i="21" s="1"/>
  <c r="S29" i="21" s="1"/>
  <c r="O27" i="21"/>
  <c r="P27" i="21" s="1" a="1"/>
  <c r="P27" i="21" s="1"/>
  <c r="S27" i="21" s="1"/>
  <c r="O26" i="21"/>
  <c r="P26" i="21" s="1" a="1"/>
  <c r="P26" i="21" s="1"/>
  <c r="S26" i="21" s="1"/>
  <c r="O31" i="21"/>
  <c r="P31" i="21" s="1" a="1"/>
  <c r="P31" i="21" s="1"/>
  <c r="S31"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30" i="21" a="1"/>
  <c r="P30" i="21" s="1"/>
  <c r="S30" i="21" s="1"/>
  <c r="P25" i="21" a="1"/>
  <c r="P25" i="21" s="1"/>
  <c r="S25"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G268" i="20" l="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1029" i="3" l="1"/>
  <c r="AJ1016" i="3"/>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G60" i="7" s="1"/>
  <c r="AE48" i="7"/>
  <c r="AG49" i="7"/>
  <c r="AG45" i="7"/>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E96" i="4" l="1"/>
  <c r="E97" i="4" s="1"/>
  <c r="E105" i="4" s="1"/>
  <c r="L96" i="4"/>
  <c r="L97" i="4" s="1"/>
  <c r="L105" i="4" s="1"/>
  <c r="R83" i="4" l="1"/>
  <c r="R96"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<sst xmlns="http://schemas.openxmlformats.org/spreadsheetml/2006/main" count="4996" uniqueCount="2745">
  <si>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</si>
  <si>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</si>
  <si>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</si>
  <si>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</si>
  <si>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</si>
  <si>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</si>
  <si>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</si>
  <si>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</si>
  <si>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</si>
  <si>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</si>
  <si>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</si>
  <si>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</si>
  <si>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</si>
  <si>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</si>
  <si>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</si>
  <si>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</si>
  <si>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</si>
  <si>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</si>
  <si>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</si>
  <si>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</si>
  <si>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</si>
  <si>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</si>
  <si>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</si>
  <si>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</si>
  <si>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</si>
  <si>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</si>
  <si>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</si>
  <si>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</si>
  <si>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</si>
  <si>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</si>
  <si>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</si>
  <si>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</si>
  <si>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</si>
  <si>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</si>
  <si>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</si>
  <si>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</si>
  <si>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</si>
  <si>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</si>
  <si>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</si>
  <si>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</si>
  <si>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</si>
  <si>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</si>
  <si>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</si>
  <si>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</si>
  <si>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</si>
  <si>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</si>
  <si>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</si>
  <si>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</si>
  <si>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</si>
  <si>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</si>
  <si>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</si>
  <si>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</si>
  <si>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</si>
  <si>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</si>
  <si>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</si>
  <si>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</si>
  <si>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</si>
  <si>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</si>
  <si>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</si>
  <si>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</si>
  <si>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</si>
  <si>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</si>
  <si>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</si>
  <si>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</si>
  <si>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</si>
  <si>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</si>
  <si>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</si>
  <si>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</si>
  <si>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</si>
  <si>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</si>
  <si>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</si>
  <si>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</si>
  <si>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</si>
  <si>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</si>
  <si>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</si>
  <si>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</si>
  <si>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</si>
  <si>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</si>
  <si>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</si>
  <si>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</si>
  <si>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</si>
  <si>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</si>
  <si>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</si>
  <si>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</si>
  <si>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</si>
  <si>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</si>
  <si>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</si>
  <si>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</si>
  <si>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</si>
  <si>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</si>
  <si>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</si>
  <si>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</si>
  <si>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</si>
  <si>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</si>
  <si>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</si>
  <si>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</si>
  <si>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</si>
  <si>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</si>
  <si>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</si>
  <si>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</si>
  <si>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</si>
  <si>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</si>
  <si>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</si>
  <si>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</si>
  <si>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</si>
  <si>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</si>
  <si>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</si>
  <si>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</si>
  <si>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</si>
  <si>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</si>
  <si>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</si>
  <si>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</si>
  <si>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</si>
  <si>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</si>
  <si>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</si>
  <si>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</si>
  <si>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</si>
  <si>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</si>
  <si>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</si>
  <si>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</si>
  <si>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</si>
  <si>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</si>
  <si>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</si>
  <si>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</si>
  <si>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</si>
  <si>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</si>
  <si>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</si>
  <si>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</si>
  <si>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</si>
  <si>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</si>
  <si>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</si>
  <si>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</si>
  <si>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</si>
  <si>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</si>
  <si>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</si>
  <si>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</si>
  <si>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</si>
  <si>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</si>
  <si>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</si>
  <si>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</si>
  <si>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</si>
  <si>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</si>
  <si>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</si>
  <si>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</si>
  <si>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</si>
  <si>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</si>
  <si>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</si>
  <si>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</si>
  <si>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</si>
  <si>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</si>
  <si>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</si>
  <si>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</si>
  <si>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</si>
  <si>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</si>
  <si>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</si>
  <si>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</si>
  <si>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</si>
  <si>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</si>
  <si>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</si>
  <si>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</si>
  <si>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</si>
  <si>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</si>
  <si>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</si>
  <si>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</si>
  <si>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</si>
  <si>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</si>
  <si>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</si>
  <si>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</si>
  <si>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</si>
  <si>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</si>
  <si>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</si>
  <si>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</si>
  <si>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</si>
  <si>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</si>
  <si>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</si>
  <si>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</si>
  <si>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</si>
  <si>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</si>
  <si>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</si>
  <si>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</si>
  <si>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</si>
  <si>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</si>
  <si>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</si>
  <si>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</si>
  <si>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</si>
  <si>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</si>
  <si>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</si>
  <si>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</si>
  <si>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</si>
  <si>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</si>
  <si>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</si>
  <si>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</si>
  <si>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</si>
  <si>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</si>
  <si>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</si>
  <si>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</si>
  <si>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</si>
  <si>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</si>
  <si>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</si>
  <si>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</si>
  <si>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</si>
  <si>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</si>
  <si>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</si>
  <si>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</si>
  <si>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</si>
  <si>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</si>
  <si>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</si>
  <si>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</si>
  <si>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</si>
  <si>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</si>
  <si>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</si>
  <si>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</si>
  <si>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</si>
  <si>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</si>
  <si>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</si>
  <si>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</si>
  <si>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</si>
  <si>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</si>
  <si>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</si>
  <si>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</si>
  <si>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</si>
  <si>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</si>
  <si>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</si>
  <si>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</si>
  <si>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</si>
  <si>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</si>
  <si>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</si>
  <si>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</si>
  <si>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</si>
  <si>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</si>
  <si>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</si>
  <si>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</si>
  <si>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</si>
  <si>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</si>
  <si>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</si>
  <si>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</si>
  <si>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</si>
  <si>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</si>
  <si>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</si>
  <si>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</si>
  <si>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</si>
  <si>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</si>
  <si>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</si>
  <si>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</si>
  <si>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</si>
  <si>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</si>
  <si>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</si>
  <si>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</si>
  <si>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</si>
  <si>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</si>
  <si>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</si>
  <si>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</si>
  <si>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</si>
  <si>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</si>
  <si>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</si>
  <si>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</si>
  <si>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</si>
  <si>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</si>
  <si>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</si>
  <si>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</si>
  <si>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</si>
  <si>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</si>
  <si>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</si>
  <si>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</si>
  <si>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</si>
  <si>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</si>
  <si>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</si>
  <si>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</si>
  <si>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</si>
  <si>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</si>
  <si>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</si>
  <si>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</si>
  <si>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</si>
  <si>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</si>
  <si>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</si>
  <si>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</si>
  <si>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</si>
  <si>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</si>
  <si>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</si>
  <si>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</si>
  <si>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</si>
  <si>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</si>
  <si>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</si>
  <si>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</si>
  <si>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</si>
  <si>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</si>
  <si>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</si>
  <si>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</si>
  <si>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</si>
  <si>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</si>
  <si>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</si>
  <si>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</si>
  <si>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</si>
  <si>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</si>
  <si>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</si>
  <si>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</si>
  <si>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</si>
  <si>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</si>
  <si>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</si>
  <si>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</si>
  <si>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</si>
  <si>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</si>
  <si>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</si>
  <si>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</si>
  <si>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</si>
  <si>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</si>
  <si>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</si>
  <si>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</si>
  <si>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</si>
  <si>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</si>
  <si>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</si>
  <si>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</si>
  <si>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</si>
  <si>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</si>
  <si>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</si>
  <si>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</si>
  <si>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</si>
  <si>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</si>
  <si>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</si>
  <si>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</si>
  <si>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</si>
  <si>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</si>
  <si>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</si>
  <si>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</si>
  <si>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</si>
  <si>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</si>
  <si>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</si>
  <si>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</si>
  <si>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</si>
  <si>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</si>
  <si>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</si>
  <si>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</si>
  <si>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</si>
  <si>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</si>
  <si>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</si>
  <si>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</si>
  <si>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</si>
  <si>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</si>
  <si>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</si>
  <si>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</si>
  <si>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</si>
  <si>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</si>
  <si>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</si>
  <si>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</si>
  <si>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</si>
  <si>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</si>
  <si>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</si>
  <si>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</si>
  <si>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</si>
  <si>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</si>
  <si>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</si>
  <si>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</si>
  <si>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</si>
  <si>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</si>
  <si>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</si>
  <si>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</si>
  <si>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</si>
  <si>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</si>
  <si>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</si>
  <si>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</si>
  <si>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</si>
  <si>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</si>
  <si>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</si>
  <si>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</si>
  <si>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</si>
  <si>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</si>
  <si>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</si>
  <si>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</si>
  <si>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</si>
  <si>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</si>
  <si>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</si>
  <si>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</si>
  <si>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</si>
  <si>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</si>
  <si>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</si>
  <si>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</si>
  <si>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</si>
  <si>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</si>
  <si>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</si>
  <si>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</si>
  <si>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</si>
  <si>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</si>
  <si>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</si>
  <si>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</si>
  <si>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</si>
  <si>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</si>
  <si>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</si>
  <si>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</si>
  <si>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</si>
  <si>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</si>
  <si>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</si>
  <si>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</si>
  <si>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</si>
  <si>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</si>
  <si>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</si>
  <si>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</si>
  <si>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</si>
  <si>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</si>
  <si>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</si>
  <si>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</si>
  <si>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</si>
  <si>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</si>
  <si>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</si>
  <si>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</si>
  <si>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</si>
  <si>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</si>
  <si>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</si>
  <si>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</si>
  <si>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</si>
  <si>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</si>
  <si>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</si>
  <si>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</si>
  <si>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</si>
  <si>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</si>
  <si>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</si>
  <si>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</si>
  <si>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</si>
  <si>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</si>
  <si>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</si>
  <si>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</si>
  <si>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</si>
  <si>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</si>
  <si>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</si>
  <si>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</si>
  <si>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</si>
  <si>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</si>
  <si>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</si>
  <si>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</si>
  <si>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</si>
  <si>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</si>
  <si>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</si>
  <si>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</si>
  <si>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</si>
  <si>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</si>
  <si>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</si>
  <si>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</si>
  <si>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</si>
  <si>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</si>
  <si>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</si>
  <si>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</si>
  <si>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</si>
  <si>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</si>
  <si>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</si>
  <si>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</si>
  <si>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</si>
  <si>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</si>
  <si>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</si>
  <si>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</si>
  <si>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</si>
  <si>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</si>
  <si>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</si>
  <si>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</si>
  <si>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</si>
  <si>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</si>
  <si>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</si>
  <si>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</si>
  <si>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</si>
  <si>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</si>
  <si>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</si>
  <si>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</si>
  <si>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</si>
  <si>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</si>
  <si>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</si>
  <si>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</si>
  <si>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</si>
  <si>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</si>
  <si>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</si>
  <si>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</si>
  <si>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</si>
  <si>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</si>
  <si>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</si>
  <si>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</si>
  <si>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</si>
  <si>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</si>
  <si>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</si>
  <si>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</si>
  <si>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</si>
  <si>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</si>
  <si>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</si>
  <si>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</si>
  <si>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</si>
  <si>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</si>
  <si>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</si>
  <si>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</si>
  <si>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</si>
  <si>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</si>
  <si>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</si>
  <si>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</si>
  <si>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</si>
  <si>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</si>
  <si>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</si>
  <si>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</si>
  <si>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</si>
  <si>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</si>
  <si>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</si>
  <si>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</si>
  <si>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</si>
  <si>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</si>
  <si>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</si>
  <si>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</si>
  <si>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</si>
  <si>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</si>
  <si>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</si>
  <si>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</si>
  <si>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</si>
  <si>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</si>
  <si>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</si>
  <si>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</si>
  <si>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</si>
  <si>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</si>
  <si>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</si>
  <si>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</si>
  <si>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</si>
  <si>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</si>
  <si>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</si>
  <si>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</si>
  <si>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</si>
  <si>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</si>
  <si>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</si>
  <si>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</si>
  <si>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</si>
  <si>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</si>
  <si>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</si>
  <si>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</si>
  <si>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</si>
  <si>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</si>
  <si>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</si>
  <si>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</si>
  <si>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</si>
  <si>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</si>
  <si>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</si>
  <si>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</si>
  <si>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</si>
  <si>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</si>
  <si>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</si>
  <si>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</si>
  <si>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</si>
  <si>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</si>
  <si>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</si>
  <si>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</si>
  <si>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</si>
  <si>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</si>
  <si>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</si>
  <si>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</si>
  <si>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</si>
  <si>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</si>
  <si>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</si>
  <si>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</si>
  <si>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</si>
  <si>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</si>
  <si>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</si>
  <si>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</si>
  <si>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</si>
  <si>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</si>
  <si>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</si>
  <si>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</si>
  <si>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</si>
  <si>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</si>
  <si>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</si>
  <si>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</si>
  <si>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</si>
  <si>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</si>
  <si>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</si>
  <si>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</si>
  <si>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</si>
  <si>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</si>
  <si>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</si>
  <si>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</si>
  <si>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</si>
  <si>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</si>
  <si>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</si>
  <si>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</si>
  <si>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</si>
  <si>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</si>
  <si>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</si>
  <si>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</si>
  <si>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</si>
  <si>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</si>
  <si>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</si>
  <si>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</si>
  <si>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</si>
  <si>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</si>
  <si>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</si>
  <si>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</si>
  <si>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</si>
  <si>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</si>
  <si>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</si>
  <si>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</si>
  <si>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</si>
  <si>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</si>
  <si>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</si>
  <si>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</si>
  <si>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</si>
  <si>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</si>
  <si>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</si>
  <si>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</si>
  <si>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</si>
  <si>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</si>
  <si>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</si>
  <si>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</si>
  <si>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</si>
  <si>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</si>
  <si>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</si>
  <si>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</si>
  <si>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</si>
  <si>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</si>
  <si>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</si>
  <si>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</si>
  <si>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</si>
  <si>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</si>
  <si>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</si>
  <si>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</si>
  <si>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</si>
  <si>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</si>
  <si>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</si>
  <si>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</si>
  <si>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</si>
  <si>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</si>
  <si>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</si>
  <si>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</si>
  <si>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</si>
  <si>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</si>
  <si>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</si>
  <si>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</si>
  <si>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</si>
  <si>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</si>
  <si>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</si>
  <si>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</si>
  <si>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</si>
  <si>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</si>
  <si>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</si>
  <si>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</si>
  <si>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</si>
  <si>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</si>
  <si>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</si>
  <si>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</si>
  <si>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</si>
  <si>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</si>
  <si>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</si>
  <si>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</si>
  <si>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</si>
  <si>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</si>
  <si>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</si>
  <si>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</si>
  <si>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</si>
  <si>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</si>
  <si>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</si>
  <si>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</si>
  <si>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</si>
  <si>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</si>
  <si>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</si>
  <si>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</si>
  <si>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</si>
  <si>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</si>
  <si>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</si>
  <si>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</si>
  <si>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</si>
  <si>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</si>
  <si>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</si>
  <si>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</si>
  <si>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</si>
  <si>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</si>
  <si>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</si>
  <si>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</si>
  <si>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</si>
  <si>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</si>
  <si>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</si>
  <si>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</si>
  <si>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</si>
  <si>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</si>
  <si>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</si>
  <si>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</si>
  <si>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</si>
  <si>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</si>
  <si>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</si>
  <si>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</si>
  <si>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</si>
  <si>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</si>
  <si>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</si>
  <si>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</si>
  <si>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</si>
  <si>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</si>
  <si>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</si>
  <si>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</si>
  <si>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</si>
  <si>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</si>
  <si>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</si>
  <si>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</si>
  <si>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</si>
  <si>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</si>
  <si>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</si>
  <si>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</si>
  <si>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</si>
  <si>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</si>
  <si>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</si>
  <si>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</si>
  <si>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</si>
  <si>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</si>
  <si>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</si>
  <si>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</si>
  <si>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</si>
  <si>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</si>
  <si>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</si>
  <si>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</si>
  <si>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</si>
  <si>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</si>
  <si>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</si>
  <si>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</si>
  <si>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</si>
  <si>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</si>
  <si>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</si>
  <si>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</si>
  <si>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</si>
  <si>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</si>
  <si>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</si>
  <si>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</si>
  <si>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</si>
  <si>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</si>
  <si>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</si>
  <si>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</si>
  <si>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</si>
  <si>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</si>
  <si>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</si>
  <si>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</si>
  <si>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</si>
  <si>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</si>
  <si>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</si>
  <si>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</si>
  <si>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</si>
  <si>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</si>
  <si>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</si>
  <si>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</si>
  <si>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</si>
  <si>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</si>
  <si>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</si>
  <si>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</si>
  <si>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</si>
  <si>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</si>
  <si>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</si>
  <si>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</si>
  <si>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</si>
  <si>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</si>
  <si>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</si>
  <si>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</si>
  <si>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</si>
  <si>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</si>
  <si>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</si>
  <si>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</si>
  <si>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</si>
  <si>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</si>
  <si>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</si>
  <si>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</si>
  <si>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</si>
  <si>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</si>
  <si>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</si>
  <si>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</si>
  <si>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</si>
  <si>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</si>
  <si>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</si>
  <si>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</si>
  <si>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</si>
  <si>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</si>
  <si>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</si>
  <si>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</si>
  <si>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</si>
  <si>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</si>
  <si>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</si>
  <si>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</si>
  <si>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</si>
  <si>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</si>
  <si>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</si>
  <si>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</si>
  <si>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</si>
  <si>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</si>
  <si>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</si>
  <si>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</si>
  <si>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</si>
  <si>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</si>
  <si>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</si>
  <si>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</si>
  <si>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</si>
  <si>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</si>
  <si>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</si>
  <si>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</si>
  <si>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</si>
  <si>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</si>
  <si>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</si>
  <si>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</si>
  <si>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</si>
  <si>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</si>
  <si>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</si>
  <si>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</si>
  <si>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</si>
  <si>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</si>
  <si>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</si>
  <si>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</si>
  <si>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</si>
  <si>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</si>
  <si>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</si>
  <si>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</si>
  <si>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</si>
  <si>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</si>
  <si>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</si>
  <si>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</si>
  <si>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</si>
  <si>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</si>
  <si>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</si>
  <si>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</si>
  <si>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</si>
  <si>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</si>
  <si>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</si>
  <si>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</si>
  <si>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</si>
  <si>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</si>
  <si>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</si>
  <si>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</si>
  <si>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</si>
  <si>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</si>
  <si>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</si>
  <si>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</si>
  <si>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</si>
  <si>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</si>
  <si>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</si>
  <si>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</si>
  <si>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</si>
  <si>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</si>
  <si>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</si>
  <si>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</si>
  <si>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</si>
  <si>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</si>
  <si>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</si>
  <si>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</si>
  <si>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</si>
  <si>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</si>
  <si>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</si>
  <si>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</si>
  <si>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</si>
  <si>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</si>
  <si>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</si>
  <si>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</si>
  <si>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</si>
  <si>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</si>
  <si>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</si>
  <si>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</si>
  <si>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</si>
  <si>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</si>
  <si>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</si>
  <si>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</si>
  <si>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</si>
  <si>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</si>
  <si>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</si>
  <si>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</si>
  <si>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</si>
  <si>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</si>
  <si>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</si>
  <si>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</si>
  <si>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</si>
  <si>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</si>
  <si>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</si>
  <si>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</si>
  <si>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</si>
  <si>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</si>
  <si>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</si>
  <si>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</si>
  <si>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</si>
  <si>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</si>
  <si>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</si>
  <si>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</si>
  <si>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</si>
  <si>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</si>
  <si>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</si>
  <si>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</si>
  <si>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</si>
  <si>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</si>
  <si>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</si>
  <si>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</si>
  <si>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</si>
  <si>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</si>
  <si>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</si>
  <si>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</si>
  <si>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</si>
  <si>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</si>
  <si>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</si>
  <si>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</si>
  <si>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</si>
  <si>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</si>
  <si>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</si>
  <si>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</si>
  <si>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</si>
  <si>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</si>
  <si>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</si>
  <si>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</si>
  <si>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</si>
  <si>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</si>
  <si>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</si>
  <si>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</si>
  <si>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</si>
  <si>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</si>
  <si>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</si>
  <si>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</si>
  <si>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</si>
  <si>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</si>
  <si>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</si>
  <si>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</si>
  <si>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</si>
  <si>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</si>
  <si>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</si>
  <si>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</si>
  <si>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</si>
  <si>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</si>
  <si>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</si>
  <si>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</si>
  <si>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</si>
  <si>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</si>
  <si>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</si>
  <si>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</si>
  <si>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</si>
  <si>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</si>
  <si>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</si>
  <si>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</si>
  <si>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</si>
  <si>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</si>
  <si>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</si>
  <si>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</si>
  <si>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</si>
  <si>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</si>
  <si>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</si>
  <si>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</si>
  <si>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</si>
  <si>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</si>
  <si>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</si>
  <si>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</si>
  <si>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</si>
  <si>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</si>
  <si>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</si>
  <si>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</si>
  <si>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</si>
  <si>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</si>
  <si>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</si>
  <si>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</si>
  <si>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</si>
  <si>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</si>
  <si>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</si>
  <si>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</si>
  <si>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</si>
  <si>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</si>
  <si>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</si>
  <si>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</si>
  <si>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</si>
  <si>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</si>
  <si>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</si>
  <si>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</si>
  <si>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</si>
  <si>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</si>
  <si>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</si>
  <si>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</si>
  <si>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</si>
  <si>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</si>
  <si>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</si>
  <si>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</si>
  <si>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</si>
  <si>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</si>
  <si>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</si>
  <si>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</si>
  <si>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</si>
  <si>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</si>
  <si>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</si>
  <si>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</si>
  <si>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</si>
  <si>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</si>
  <si>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</si>
  <si>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</si>
  <si>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</si>
  <si>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</si>
  <si>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</si>
  <si>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</si>
  <si>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</si>
  <si>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</si>
  <si>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</si>
  <si>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</si>
  <si>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</si>
  <si>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</si>
  <si>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</si>
  <si>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</si>
  <si>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</si>
  <si>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</si>
  <si>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</si>
  <si>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</si>
  <si>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</si>
  <si>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</si>
  <si>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</si>
  <si>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</si>
  <si>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</si>
  <si>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</si>
  <si>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</si>
  <si>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</si>
  <si>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</si>
  <si>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</si>
  <si>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</si>
  <si>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</si>
  <si>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</si>
  <si>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</si>
  <si>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</si>
  <si>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</si>
  <si>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</si>
  <si>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</si>
  <si>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</si>
  <si>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</si>
  <si>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</si>
  <si>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</si>
  <si>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</si>
  <si>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</si>
  <si>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</si>
  <si>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</si>
  <si>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</si>
  <si>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</si>
  <si>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</si>
  <si>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</si>
  <si>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</si>
  <si>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</si>
  <si>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</si>
  <si>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</si>
  <si>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</si>
  <si>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</si>
  <si>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</si>
  <si>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</si>
  <si>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</si>
  <si>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</si>
  <si>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</si>
  <si>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</si>
  <si>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</si>
  <si>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</si>
  <si>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</si>
  <si>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</si>
  <si>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</si>
  <si>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</si>
  <si>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</si>
  <si>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</si>
  <si>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</si>
  <si>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</si>
  <si>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</si>
  <si>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</si>
  <si>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</si>
  <si>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</si>
  <si>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</si>
  <si>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</si>
  <si>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</si>
  <si>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</si>
  <si>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</si>
  <si>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</si>
  <si>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</si>
  <si>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</si>
  <si>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</si>
  <si>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</si>
  <si>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</si>
  <si>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</si>
  <si>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</si>
  <si>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</si>
  <si>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</si>
  <si>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</si>
  <si>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</si>
  <si>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</si>
  <si>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</si>
  <si>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</si>
  <si>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</si>
  <si>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</si>
  <si>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</si>
  <si>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</si>
  <si>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</si>
  <si>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</si>
  <si>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</si>
  <si>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</si>
  <si>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</si>
  <si>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</si>
  <si>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</si>
  <si>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</si>
  <si>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</si>
  <si>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</si>
  <si>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</si>
  <si>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</si>
  <si>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</si>
  <si>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</si>
  <si>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</si>
  <si>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</si>
  <si>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</si>
  <si>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</si>
  <si>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</si>
  <si>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</si>
  <si>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</si>
  <si>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</si>
  <si>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</si>
  <si>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</si>
  <si>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</si>
  <si>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</si>
  <si>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</si>
  <si>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</si>
  <si>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</si>
  <si>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</si>
  <si>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</si>
  <si>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</si>
  <si>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</si>
  <si>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</si>
  <si>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</si>
  <si>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</si>
  <si>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</si>
  <si>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</si>
  <si>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</si>
  <si>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</si>
  <si>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</si>
  <si>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</si>
  <si>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</si>
  <si>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</si>
  <si>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</si>
  <si>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</si>
  <si>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</si>
  <si>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</si>
  <si>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</si>
  <si>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</si>
  <si>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</si>
  <si>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</si>
  <si>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</si>
  <si>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</si>
  <si>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</si>
  <si>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</si>
  <si>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</si>
  <si>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</si>
  <si>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</si>
  <si>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</si>
  <si>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</si>
  <si>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</si>
  <si>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</si>
  <si>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</si>
  <si>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</si>
  <si>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</si>
  <si>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</si>
  <si>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</si>
  <si>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</si>
  <si>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</si>
  <si>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</si>
  <si>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</si>
  <si>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</si>
  <si>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</si>
  <si>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</si>
  <si>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</si>
  <si>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</si>
  <si>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</si>
  <si>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</si>
  <si>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</si>
  <si>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</si>
  <si>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</si>
  <si>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</si>
  <si>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</si>
  <si>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</si>
  <si>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</si>
  <si>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</si>
  <si>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</si>
  <si>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</si>
  <si>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</si>
  <si>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</si>
  <si>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</si>
  <si>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</si>
  <si>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</si>
  <si>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</si>
  <si>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</si>
  <si>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</si>
  <si>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</si>
  <si>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</si>
  <si>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</si>
  <si>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</si>
  <si>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</si>
  <si>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</si>
  <si>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</si>
  <si>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</si>
  <si>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</si>
  <si>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</si>
  <si>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</si>
  <si>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</si>
  <si>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</si>
  <si>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</si>
  <si>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</si>
  <si>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</si>
  <si>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</si>
  <si>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</si>
  <si>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</si>
  <si>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</si>
  <si>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</si>
  <si>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</si>
  <si>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</si>
  <si>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</si>
  <si>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</si>
  <si>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</si>
  <si>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</si>
  <si>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</si>
  <si>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</si>
  <si>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</si>
  <si>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</si>
  <si>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</si>
  <si>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</si>
  <si>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</si>
  <si>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</si>
  <si>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</si>
  <si>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</si>
  <si>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</si>
  <si>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</si>
  <si>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</si>
  <si>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</si>
  <si>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</si>
  <si>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</si>
  <si>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</si>
  <si>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</si>
  <si>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</si>
  <si>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</si>
  <si>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</si>
  <si>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</si>
  <si>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</si>
  <si>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</si>
  <si>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</si>
  <si>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</si>
  <si>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</si>
  <si>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</si>
  <si>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</si>
  <si>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</si>
  <si>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</si>
  <si>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</si>
  <si>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</si>
  <si>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</si>
  <si>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</si>
  <si>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</si>
  <si>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</si>
  <si>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</si>
  <si>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</si>
  <si>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</si>
  <si>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</si>
  <si>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</si>
  <si>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</si>
  <si>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</si>
  <si>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</si>
  <si>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</si>
  <si>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</si>
  <si>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</si>
  <si>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</si>
  <si>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</si>
  <si>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</si>
  <si>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</si>
  <si>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</si>
  <si>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</si>
  <si>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</si>
  <si>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</si>
  <si>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</si>
  <si>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</si>
  <si>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</si>
  <si>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</si>
  <si>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</si>
  <si>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</si>
  <si>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</si>
  <si>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</si>
  <si>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</si>
  <si>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</si>
  <si>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</si>
  <si>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</si>
  <si>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</si>
  <si>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</si>
  <si>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</si>
  <si>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</si>
  <si>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</si>
  <si>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</si>
  <si>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</si>
  <si>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</si>
  <si>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</si>
  <si>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</si>
  <si>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</si>
  <si>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</si>
  <si>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</si>
  <si>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</si>
  <si>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</si>
  <si>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</si>
  <si>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</si>
  <si>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</si>
  <si>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</si>
  <si>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</si>
  <si>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</si>
  <si>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</si>
  <si>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</si>
  <si>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</si>
  <si>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</si>
  <si>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</si>
  <si>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</si>
  <si>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</si>
  <si>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</si>
  <si>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</si>
  <si>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</si>
  <si>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</si>
  <si>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</si>
  <si>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</si>
  <si>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</si>
  <si>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</si>
  <si>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</si>
  <si>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</si>
  <si>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</si>
  <si>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</si>
  <si>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</si>
  <si>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</si>
  <si>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</si>
  <si>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</si>
  <si>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</si>
  <si>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</si>
  <si>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</si>
  <si>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</si>
  <si>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</si>
  <si>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</si>
  <si>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</si>
  <si>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</si>
  <si>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</si>
  <si>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</si>
  <si>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</si>
  <si>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</si>
  <si>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</si>
  <si>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</si>
  <si>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</si>
  <si>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</si>
  <si>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</si>
  <si>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</si>
  <si>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</si>
  <si>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</si>
  <si>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</si>
  <si>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</si>
  <si>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</si>
  <si>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</si>
  <si>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</si>
  <si>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</si>
  <si>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</si>
  <si>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</si>
  <si>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</si>
  <si>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</si>
  <si>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</si>
  <si>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</si>
  <si>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</si>
  <si>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</si>
  <si>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</si>
  <si>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</si>
  <si>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</si>
  <si>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</si>
  <si>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</si>
  <si>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</si>
  <si>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</si>
  <si>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</si>
  <si>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</si>
  <si>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</si>
  <si>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</si>
  <si>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</si>
  <si>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</si>
  <si>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</si>
  <si>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</si>
  <si>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</si>
  <si>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</si>
  <si>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</si>
  <si>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</si>
  <si>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</si>
  <si>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</si>
  <si>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</si>
  <si>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</si>
  <si>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</si>
  <si>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</si>
  <si>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</si>
  <si>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</si>
  <si>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</si>
  <si>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</si>
  <si>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</si>
  <si>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</si>
  <si>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</si>
  <si>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</si>
  <si>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</si>
  <si>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</si>
  <si>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</si>
  <si>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</si>
  <si>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</si>
  <si>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</si>
  <si>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</si>
  <si>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</si>
  <si>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</si>
  <si>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</si>
  <si>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</si>
  <si>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</si>
  <si>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</si>
  <si>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</si>
  <si>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</si>
  <si>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</si>
  <si>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</si>
  <si>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</si>
  <si>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</si>
  <si>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</si>
  <si>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</si>
  <si>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</si>
  <si>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</si>
  <si>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</si>
  <si>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</si>
  <si>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</si>
  <si>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</si>
  <si>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</si>
  <si>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</si>
  <si>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</si>
  <si>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</si>
  <si>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</si>
  <si>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</si>
  <si>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</si>
  <si>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</si>
  <si>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</si>
  <si>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</si>
  <si>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</si>
  <si>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</si>
  <si>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</si>
  <si>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</si>
  <si>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</si>
  <si>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</si>
  <si>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</si>
  <si>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</si>
  <si>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</si>
  <si>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</si>
  <si>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</si>
  <si>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</si>
  <si>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</si>
  <si>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</si>
  <si>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</si>
  <si>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</si>
  <si>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</si>
  <si>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</si>
  <si>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</si>
  <si>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</si>
  <si>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</si>
  <si>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</si>
  <si>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</si>
  <si>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</si>
  <si>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</si>
  <si>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</si>
  <si>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</si>
  <si>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</si>
  <si>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</si>
  <si>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</si>
  <si>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</si>
  <si>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</si>
  <si>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</si>
  <si>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</si>
  <si>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</si>
  <si>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</si>
  <si>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</si>
  <si>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</si>
  <si>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</si>
  <si>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</si>
  <si>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</si>
  <si>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</si>
  <si>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</si>
  <si>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</si>
  <si>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</si>
  <si>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</si>
  <si>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</si>
  <si>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</si>
  <si>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</si>
  <si>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</si>
  <si>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</si>
  <si>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</si>
  <si>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</si>
  <si>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</si>
  <si>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</si>
  <si>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</si>
  <si>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</si>
  <si>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</si>
  <si>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</si>
  <si>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</si>
  <si>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</si>
  <si>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</si>
  <si>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</si>
  <si>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</si>
  <si>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</si>
  <si>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</si>
  <si>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</si>
  <si>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</si>
  <si>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</si>
  <si>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</si>
  <si>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</si>
  <si>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</si>
  <si>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</si>
  <si>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</si>
  <si>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</si>
  <si>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</si>
  <si>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</si>
  <si>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</si>
  <si>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</si>
  <si>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</si>
  <si>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</si>
  <si>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</si>
  <si>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</si>
  <si>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</si>
  <si>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</si>
  <si>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</si>
  <si>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</si>
  <si>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</si>
  <si>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</si>
  <si>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</si>
  <si>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</si>
  <si>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</si>
  <si>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</si>
  <si>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</si>
  <si>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</si>
  <si>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</si>
  <si>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</si>
  <si>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</si>
  <si>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</si>
  <si>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</si>
  <si>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</si>
  <si>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</si>
  <si>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</si>
  <si>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</si>
  <si>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</si>
  <si>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</si>
  <si>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</si>
  <si>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</si>
  <si>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</si>
  <si>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</si>
  <si>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</si>
  <si>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</si>
  <si>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</si>
  <si>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</si>
  <si>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</si>
  <si>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</si>
  <si>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</si>
  <si>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</si>
  <si>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</si>
  <si>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</si>
  <si>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</si>
  <si>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</si>
  <si>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</si>
  <si>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</si>
  <si>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</si>
  <si>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</si>
  <si>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</si>
  <si>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</si>
  <si>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</si>
  <si>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</si>
  <si>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</si>
  <si>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</si>
  <si>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</si>
  <si>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</si>
  <si>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</si>
  <si>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</si>
  <si>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</si>
  <si>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</si>
  <si>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</si>
  <si>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</si>
  <si>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</si>
  <si>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</si>
  <si>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</si>
  <si>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</si>
  <si>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</si>
  <si>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</si>
  <si>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</si>
  <si>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</si>
  <si>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</si>
  <si>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</si>
  <si>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</si>
  <si>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</si>
  <si>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</si>
  <si>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</si>
  <si>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</si>
  <si>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</si>
  <si>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</si>
  <si>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</si>
  <si>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</si>
  <si>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</si>
  <si>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</si>
  <si>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</si>
  <si>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</si>
  <si>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</si>
  <si>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</si>
  <si>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</si>
  <si>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</si>
  <si>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</si>
  <si>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</si>
  <si>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</si>
  <si>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</si>
  <si>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</si>
  <si>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</si>
  <si>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</si>
  <si>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</si>
  <si>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</si>
  <si>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</si>
  <si>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</si>
  <si>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</si>
  <si>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</si>
  <si>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</si>
  <si>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</si>
  <si>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</si>
  <si>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</si>
  <si>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</si>
  <si>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</si>
  <si>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</si>
  <si>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</si>
  <si>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</si>
  <si>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</si>
  <si>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</si>
  <si>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</si>
  <si>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</si>
  <si>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</si>
  <si>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</si>
  <si>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</si>
  <si>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</si>
  <si>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</si>
  <si>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</si>
  <si>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</si>
  <si>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</si>
  <si>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</si>
  <si>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</si>
  <si>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</si>
  <si>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</si>
  <si>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</si>
  <si>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</si>
  <si>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</si>
  <si>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</si>
  <si>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</si>
  <si>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</si>
  <si>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</si>
  <si>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</si>
  <si>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</si>
  <si>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</si>
  <si>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</si>
  <si>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</si>
  <si>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</si>
  <si>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</si>
  <si>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</si>
  <si>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</si>
  <si>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</si>
  <si>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</si>
  <si>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</si>
  <si>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</si>
  <si>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</si>
  <si>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</si>
  <si>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</si>
  <si>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</si>
  <si>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</si>
  <si>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</si>
  <si>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</si>
  <si>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</si>
  <si>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</si>
  <si>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</si>
  <si>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</si>
  <si>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</si>
  <si>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</si>
  <si>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</si>
  <si>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</si>
  <si>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</si>
  <si>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</si>
  <si>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</si>
  <si>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</si>
  <si>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</si>
  <si>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</si>
  <si>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</si>
  <si>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</si>
  <si>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</si>
  <si>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</si>
  <si>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</si>
  <si>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</si>
  <si>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</si>
  <si>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</si>
  <si>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</si>
  <si>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</si>
  <si>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</si>
  <si>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</si>
  <si>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</si>
  <si>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</si>
  <si>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</si>
  <si>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</si>
  <si>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</si>
  <si>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</si>
  <si>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</si>
  <si>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</si>
  <si>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</si>
  <si>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</si>
  <si>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</si>
  <si>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</si>
  <si>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</si>
  <si>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</si>
  <si>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</si>
  <si>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</si>
  <si>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</si>
  <si>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</si>
  <si>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</si>
  <si>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</si>
  <si>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</si>
  <si>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</si>
  <si>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</si>
  <si>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</si>
  <si>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</si>
  <si>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</si>
  <si>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</si>
  <si>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</si>
  <si>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</si>
  <si>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</si>
  <si>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</si>
  <si>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</si>
  <si>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</si>
  <si>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</si>
  <si>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</si>
  <si>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</si>
  <si>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</si>
  <si>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</si>
  <si>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</si>
  <si>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</si>
  <si>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</si>
  <si>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</si>
  <si>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</si>
  <si>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</si>
  <si>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</si>
  <si>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</si>
  <si>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</si>
  <si>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</si>
  <si>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</si>
  <si>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</si>
  <si>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</si>
  <si>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</si>
  <si>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</si>
  <si>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</si>
  <si>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</si>
  <si>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</si>
  <si>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</si>
  <si>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</si>
  <si>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</si>
  <si>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</si>
  <si>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</si>
  <si>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</si>
  <si>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</si>
  <si>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</si>
  <si>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</si>
  <si>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</si>
  <si>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</si>
  <si>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</si>
  <si>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</si>
  <si>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</si>
  <si>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</si>
  <si>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</si>
  <si>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</si>
  <si>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</si>
  <si>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</si>
  <si>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</si>
  <si>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</si>
  <si>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</si>
  <si>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</si>
  <si>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</si>
  <si>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</si>
  <si>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</si>
  <si>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</si>
  <si>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</si>
  <si>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</si>
  <si>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</si>
  <si>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</si>
  <si>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</si>
  <si>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</si>
  <si>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</si>
  <si>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</si>
  <si>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</si>
  <si>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</si>
  <si>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</si>
  <si>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</si>
  <si>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</si>
  <si>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</si>
  <si>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</si>
  <si>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</si>
  <si>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</si>
  <si>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</si>
  <si>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</si>
  <si>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</si>
  <si>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</si>
  <si>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</si>
  <si>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</si>
  <si>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</si>
  <si>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</si>
  <si>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</si>
  <si>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</si>
  <si>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</si>
  <si>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</si>
  <si>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</si>
  <si>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</si>
  <si>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</si>
  <si>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</si>
  <si>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</si>
  <si>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</si>
  <si>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</si>
  <si>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</si>
  <si>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</si>
  <si>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</si>
  <si>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</si>
  <si>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</si>
  <si>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</si>
  <si>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</si>
  <si>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</si>
  <si>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</si>
  <si>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</si>
  <si>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</si>
  <si>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</si>
  <si>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</si>
  <si>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</si>
  <si>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</si>
  <si>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</si>
  <si>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</si>
  <si>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</si>
  <si>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</si>
  <si>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</si>
  <si>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</si>
  <si>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</si>
  <si>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</si>
  <si>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</si>
  <si>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</si>
  <si>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</si>
  <si>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</si>
  <si>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</si>
  <si>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</si>
  <si>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</si>
  <si>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</si>
  <si>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</si>
  <si>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</si>
  <si>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</si>
  <si>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</si>
  <si>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</si>
  <si>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</si>
  <si>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</si>
  <si>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</si>
  <si>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</si>
  <si>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</si>
  <si>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</si>
  <si>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</si>
  <si>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</si>
  <si>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</si>
  <si>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</si>
  <si>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</si>
  <si>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</si>
  <si>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</si>
  <si>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</si>
  <si>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</si>
  <si>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</si>
  <si>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</si>
  <si>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</si>
  <si>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</si>
  <si>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</si>
  <si>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</si>
  <si>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</si>
  <si>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</si>
  <si>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</si>
  <si>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</si>
  <si>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</si>
  <si>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</si>
  <si>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</si>
  <si>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</si>
  <si>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</si>
  <si>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</si>
  <si>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</si>
  <si>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</si>
  <si>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</si>
  <si>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</si>
  <si>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</si>
  <si>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</si>
  <si>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</si>
  <si>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</si>
  <si>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</si>
  <si>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</si>
  <si>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</si>
  <si>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</si>
  <si>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</si>
  <si>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</si>
  <si>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</si>
  <si>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</si>
  <si>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</si>
  <si>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</si>
  <si>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</si>
  <si>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</si>
  <si>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</si>
  <si>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</si>
  <si>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</si>
  <si>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</si>
  <si>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</si>
  <si>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</si>
  <si>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</si>
  <si>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</si>
  <si>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</si>
  <si>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</si>
  <si>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</si>
  <si>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</si>
  <si>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</si>
  <si>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</si>
  <si>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</si>
  <si>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</si>
  <si>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</si>
  <si>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</si>
  <si>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</si>
  <si>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</si>
  <si>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</si>
  <si>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</si>
  <si>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</si>
  <si>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</si>
  <si>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</si>
  <si>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</si>
  <si>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</si>
  <si>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</si>
  <si>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</si>
  <si>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</si>
  <si>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</si>
  <si>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</si>
  <si>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</si>
  <si>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</si>
  <si>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</si>
  <si>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</si>
  <si>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</si>
  <si>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</si>
  <si>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</si>
  <si>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</si>
  <si>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</si>
  <si>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</si>
  <si>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</si>
  <si>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</si>
  <si>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</si>
  <si>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</si>
  <si>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</si>
  <si>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</si>
  <si>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</si>
  <si>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</si>
  <si>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</si>
  <si>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</si>
  <si>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</si>
  <si>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</si>
  <si>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</si>
  <si>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</si>
  <si>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</si>
  <si>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</si>
  <si>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</si>
  <si>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</si>
  <si>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</si>
  <si>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</si>
  <si>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</si>
  <si>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</si>
  <si>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</si>
  <si>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</si>
  <si>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</si>
  <si>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</si>
  <si>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</si>
  <si>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</si>
  <si>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</si>
  <si>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</si>
  <si>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</si>
  <si>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</si>
  <si>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</si>
  <si>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</si>
  <si>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</si>
  <si>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</si>
  <si>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</si>
  <si>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</si>
  <si>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</si>
  <si>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</si>
  <si>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</si>
  <si>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</si>
  <si>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</si>
  <si>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</si>
  <si>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</si>
  <si>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</si>
  <si>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</si>
  <si>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</si>
  <si>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</si>
  <si>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</si>
  <si>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</si>
  <si>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</si>
  <si>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</si>
  <si>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</si>
  <si>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</si>
  <si>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</si>
  <si>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</si>
  <si>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</si>
  <si>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</si>
  <si>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</si>
  <si>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</si>
  <si>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</si>
  <si>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</si>
  <si>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</si>
  <si>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</si>
  <si>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</si>
  <si>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</si>
  <si>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</si>
  <si>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</si>
  <si>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</si>
  <si>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</si>
  <si>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</si>
  <si>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</si>
  <si>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</si>
  <si>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</si>
  <si>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</si>
  <si>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</si>
  <si>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</si>
  <si>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</si>
  <si>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</si>
  <si>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</si>
  <si>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</si>
  <si>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</si>
  <si>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</si>
  <si>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</si>
  <si>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</si>
  <si>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</si>
  <si>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</si>
  <si>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</si>
  <si>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</si>
  <si>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</si>
  <si>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</si>
  <si>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</si>
  <si>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</si>
  <si>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</si>
  <si>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</si>
  <si>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</si>
  <si>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</si>
  <si>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</si>
  <si>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</si>
  <si>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</si>
  <si>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</si>
  <si>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</si>
  <si>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</si>
  <si>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</si>
  <si>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</si>
  <si>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</si>
  <si>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</si>
  <si>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</si>
  <si>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</si>
  <si>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</si>
  <si>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</si>
  <si>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</si>
  <si>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</si>
  <si>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</si>
  <si>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</si>
  <si>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</si>
  <si>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</si>
  <si>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</si>
  <si>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</si>
  <si>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</si>
  <si>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</si>
  <si>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</si>
  <si>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</si>
  <si>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</si>
  <si>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</si>
  <si>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</si>
  <si>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</si>
  <si>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</si>
  <si>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</si>
  <si>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</si>
  <si>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</si>
  <si>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</si>
  <si>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</si>
  <si>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</si>
  <si>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</si>
  <si>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</si>
  <si>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</si>
  <si>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</si>
  <si>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</si>
  <si>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</si>
  <si>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</si>
  <si>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</si>
  <si>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</si>
  <si>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</si>
  <si>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</si>
  <si>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</si>
  <si>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</si>
  <si>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</si>
  <si>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</si>
  <si>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</si>
  <si>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</si>
  <si>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</si>
  <si>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</si>
  <si>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</si>
  <si>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</si>
  <si>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</si>
  <si>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</si>
  <si>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</si>
  <si>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</si>
  <si>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</si>
  <si>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</si>
  <si>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</si>
  <si>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</si>
  <si>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</si>
  <si>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</si>
  <si>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</si>
  <si>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</si>
  <si>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</si>
  <si>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</si>
  <si>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</si>
  <si>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</si>
  <si>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</si>
  <si>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</si>
  <si>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</si>
  <si>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</si>
  <si>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</si>
  <si>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</si>
  <si>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</si>
  <si>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</si>
  <si>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</si>
  <si>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</si>
  <si>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</si>
  <si>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</si>
  <si>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</si>
  <si>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</si>
  <si>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</si>
  <si>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</si>
  <si>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</si>
  <si>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</si>
  <si>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</si>
  <si>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</si>
  <si>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</si>
  <si>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</si>
  <si>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</si>
  <si>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</si>
  <si>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</si>
  <si>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</si>
  <si>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</si>
  <si>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</si>
  <si>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</si>
  <si>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</si>
  <si>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</si>
  <si>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</si>
  <si>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</si>
  <si>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</si>
  <si>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</si>
  <si>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</si>
  <si>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</si>
  <si>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</si>
  <si>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</si>
  <si>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</si>
  <si>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</si>
  <si>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</si>
  <si>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</si>
  <si>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</si>
  <si>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</si>
  <si>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</si>
  <si>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</si>
  <si>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</si>
  <si>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</si>
  <si>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</si>
  <si>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</si>
  <si>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</si>
  <si>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</si>
  <si>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</si>
  <si>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</si>
  <si>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</si>
  <si>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</si>
  <si>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</si>
  <si>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</si>
  <si>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</si>
  <si>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</si>
  <si>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</si>
  <si>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</si>
  <si>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</si>
  <si>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</si>
  <si>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</si>
  <si>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</si>
  <si>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</si>
  <si>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</si>
  <si>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</si>
  <si>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</si>
  <si>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</si>
  <si>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</si>
  <si>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</si>
  <si>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</si>
  <si>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</si>
  <si>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</si>
  <si>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</si>
  <si>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</si>
  <si>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</si>
  <si>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</si>
  <si>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</si>
  <si>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</si>
  <si>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</si>
  <si>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</si>
  <si>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</si>
  <si>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</si>
  <si>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</si>
  <si>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</si>
  <si>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</si>
  <si>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</si>
  <si>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</si>
  <si>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</si>
  <si>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</si>
  <si>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</si>
  <si>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</si>
  <si>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</si>
  <si>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</si>
  <si>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</si>
  <si>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</si>
  <si>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</si>
  <si>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</si>
  <si>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</si>
  <si>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</si>
  <si>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</si>
  <si>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</si>
  <si>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</si>
  <si>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</si>
  <si>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</si>
  <si>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</si>
  <si>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</si>
  <si>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</si>
  <si>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</si>
  <si>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</si>
  <si>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</si>
  <si>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</si>
  <si>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</si>
  <si>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</si>
  <si>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</si>
  <si>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</si>
  <si>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</si>
  <si>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</si>
  <si>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</si>
  <si>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</si>
  <si>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</si>
  <si>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</si>
  <si>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</si>
  <si>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</si>
  <si>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</si>
  <si>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</si>
  <si>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</si>
  <si>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</si>
  <si>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</si>
  <si>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</si>
  <si>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</si>
  <si>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</si>
  <si>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</si>
  <si>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</si>
  <si>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</si>
  <si>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</si>
  <si>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</si>
  <si>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</si>
  <si>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</si>
  <si>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</si>
  <si>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</si>
  <si>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</si>
  <si>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</si>
  <si>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</si>
  <si>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</si>
  <si>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</si>
  <si>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</si>
  <si>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</si>
  <si>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</si>
  <si>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</si>
  <si>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</si>
  <si>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</si>
  <si>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</si>
  <si>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</si>
  <si>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</si>
  <si>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</si>
  <si>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</si>
  <si>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</si>
  <si>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</si>
  <si>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</si>
  <si>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</si>
  <si>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</si>
  <si>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</si>
  <si>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</si>
  <si>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</si>
  <si>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</si>
  <si>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</si>
  <si>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</si>
  <si>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</si>
  <si>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</si>
  <si>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</si>
  <si>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</si>
  <si>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</si>
  <si>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</si>
  <si>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</si>
  <si>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</si>
  <si>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</si>
  <si>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</si>
  <si>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</si>
  <si>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</si>
  <si>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</si>
  <si>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</si>
  <si>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</si>
  <si>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</si>
  <si>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</si>
  <si>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</si>
  <si>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</si>
  <si>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</si>
  <si>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</si>
  <si>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</si>
  <si>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</si>
  <si>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</si>
  <si>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</si>
  <si>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</si>
  <si>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</si>
  <si>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</si>
  <si>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</si>
  <si>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</si>
  <si>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</si>
  <si>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</si>
  <si>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</si>
  <si>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</si>
  <si>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</si>
  <si>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</si>
  <si>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</si>
  <si>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</si>
  <si>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</si>
  <si>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</si>
  <si>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</si>
  <si>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</si>
  <si>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</si>
  <si>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</si>
  <si>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</si>
  <si>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</si>
  <si>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</si>
  <si>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</si>
  <si>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</si>
  <si>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</si>
  <si>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</si>
  <si>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</si>
  <si>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</si>
  <si>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</si>
  <si>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</si>
  <si>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</si>
  <si>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</si>
  <si>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</si>
  <si>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</si>
  <si>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</si>
  <si>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</si>
  <si>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</si>
  <si>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</si>
  <si>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</si>
  <si>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</si>
  <si>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</si>
  <si>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</si>
  <si>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</si>
  <si>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</si>
  <si>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</si>
  <si>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</si>
  <si>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</si>
  <si>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</si>
  <si>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</si>
  <si>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</si>
  <si>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</si>
  <si>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</si>
  <si>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</si>
  <si>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</si>
  <si>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</si>
  <si>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</si>
  <si>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</si>
  <si>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</si>
  <si>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</si>
  <si>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</si>
  <si>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</si>
  <si>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</si>
  <si>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</si>
  <si>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</si>
  <si>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</si>
  <si>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</si>
  <si>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</si>
  <si>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</si>
  <si>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</si>
  <si>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</si>
  <si>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</si>
  <si>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</si>
  <si>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</si>
  <si>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</si>
  <si>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</si>
  <si>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</si>
  <si>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</si>
  <si>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</si>
  <si>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</si>
  <si>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</si>
  <si>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</si>
  <si>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</si>
  <si>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</si>
  <si>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</si>
  <si>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</si>
  <si>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</si>
  <si>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</si>
  <si>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</si>
  <si>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</si>
  <si>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</si>
  <si>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</si>
  <si>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</si>
  <si>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</si>
  <si>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</si>
  <si>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</si>
  <si>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</si>
  <si>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</si>
  <si>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</si>
  <si>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</si>
  <si>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</si>
  <si>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</si>
  <si>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</si>
  <si>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</si>
  <si>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</si>
  <si>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</si>
  <si>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</si>
  <si>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</si>
  <si>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</si>
  <si>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</si>
  <si>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</si>
  <si>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</si>
  <si>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</si>
  <si>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</si>
  <si>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</si>
  <si>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</si>
  <si>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</si>
  <si>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</si>
  <si>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</si>
  <si>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</si>
  <si>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</si>
  <si>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</si>
  <si>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</si>
  <si>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</si>
  <si>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</si>
  <si>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</si>
  <si>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</si>
  <si>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</si>
  <si>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</si>
  <si>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</si>
  <si>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</si>
  <si>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</si>
  <si>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</si>
  <si>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</si>
  <si>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</si>
  <si>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</si>
  <si>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</si>
  <si>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</si>
  <si>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</si>
  <si>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</si>
  <si>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</si>
  <si>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</si>
  <si>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</si>
  <si>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</si>
  <si>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</si>
  <si>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</si>
  <si>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</si>
  <si>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</si>
  <si>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</si>
  <si>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</si>
  <si>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</si>
  <si>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</si>
  <si>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</si>
  <si>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</si>
  <si>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</si>
  <si>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</si>
  <si>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</si>
  <si>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</si>
  <si>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</si>
  <si>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</si>
  <si>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</si>
  <si>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</si>
  <si>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</si>
  <si>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</si>
  <si>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</si>
  <si>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</si>
  <si>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</si>
  <si>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</si>
  <si>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</si>
  <si>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</si>
  <si>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</si>
  <si>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</si>
  <si>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</si>
  <si>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</si>
  <si>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</si>
  <si>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</si>
  <si>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</si>
  <si>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</si>
  <si>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</si>
  <si>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</si>
  <si>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</si>
  <si>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</si>
  <si>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</si>
  <si>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</si>
  <si>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</si>
  <si>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</si>
  <si>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</si>
  <si>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</si>
  <si>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</si>
  <si>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</si>
  <si>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</si>
  <si>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</si>
  <si>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</si>
  <si>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</si>
  <si>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</si>
  <si>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</si>
  <si>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</si>
  <si>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</si>
  <si>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</si>
  <si>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</si>
  <si>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</si>
  <si>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</si>
  <si>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</si>
  <si>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</si>
  <si>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</si>
  <si>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</si>
  <si>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</si>
  <si>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</si>
  <si>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</si>
  <si>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</si>
  <si>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</si>
  <si>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</si>
  <si>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</si>
  <si>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</si>
  <si>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</si>
  <si>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</si>
  <si>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</si>
  <si>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</si>
  <si>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</si>
  <si>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</si>
  <si>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</si>
  <si>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</si>
  <si>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</si>
  <si>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</si>
  <si>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</si>
  <si>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</si>
  <si>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</si>
  <si>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</si>
  <si>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</si>
  <si>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</si>
  <si>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</si>
  <si>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</si>
  <si>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</si>
  <si>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</si>
  <si>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</si>
  <si>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</si>
  <si>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</si>
  <si>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</si>
  <si>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</si>
  <si>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</si>
  <si>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</si>
  <si>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</si>
  <si>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</si>
  <si>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</si>
  <si>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</si>
  <si>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</si>
  <si>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</si>
  <si>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</si>
  <si>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</si>
  <si>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</si>
  <si>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</si>
  <si>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</si>
  <si>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</si>
  <si>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</si>
  <si>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</si>
  <si>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</si>
  <si>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</si>
  <si>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</si>
  <si>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</si>
  <si>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</si>
  <si>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</si>
  <si>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</si>
  <si>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</si>
  <si>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</si>
  <si>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</si>
  <si>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</si>
  <si>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</si>
  <si>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</si>
  <si>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</si>
  <si>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</si>
  <si>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</si>
  <si>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</si>
  <si>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</si>
  <si>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</si>
  <si>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</si>
  <si>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</si>
  <si>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</si>
  <si>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</si>
  <si>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</si>
  <si>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</si>
  <si>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</si>
  <si>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</si>
  <si>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</si>
  <si>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</si>
  <si>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</si>
  <si>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</si>
  <si>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</si>
  <si>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</si>
  <si>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</si>
  <si>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</si>
  <si>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</si>
  <si>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</si>
  <si>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</si>
  <si>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</si>
  <si>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</si>
  <si>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</si>
  <si>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</si>
  <si>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</si>
  <si>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</si>
  <si>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</si>
  <si>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</si>
  <si>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</si>
  <si>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</si>
  <si>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</si>
  <si>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</si>
  <si>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</si>
  <si>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</si>
  <si>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</si>
  <si>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</si>
  <si>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</si>
  <si>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</si>
  <si>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</si>
  <si>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</si>
  <si>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</si>
  <si>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</si>
  <si>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</si>
  <si>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</si>
  <si>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</si>
  <si>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</si>
  <si>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</si>
  <si>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</si>
  <si>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</si>
  <si>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</si>
  <si>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</si>
  <si>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</si>
  <si>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</si>
  <si>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</si>
  <si>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</si>
  <si>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</si>
  <si>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</si>
  <si>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</si>
  <si>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Community Revitalization and Development Corporation </t>
  </si>
  <si>
    <t>EaRTH Center</t>
  </si>
  <si>
    <t>City of Eureka</t>
  </si>
  <si>
    <t>Miles Slattery</t>
  </si>
  <si>
    <t>531 K Street</t>
  </si>
  <si>
    <t>Eureka</t>
  </si>
  <si>
    <t>(707 441-4184</t>
  </si>
  <si>
    <t>mslattery@eurekaca.gov</t>
  </si>
  <si>
    <t xml:space="preserve">700 3rd Street </t>
  </si>
  <si>
    <t>40%/60%</t>
  </si>
  <si>
    <t xml:space="preserve">1918 West Street </t>
  </si>
  <si>
    <t>Redding</t>
  </si>
  <si>
    <t>CA</t>
  </si>
  <si>
    <t>David Rutledge</t>
  </si>
  <si>
    <t>david@crdc-housing.org</t>
  </si>
  <si>
    <t>Community Revitalization and Development Corporation</t>
  </si>
  <si>
    <t xml:space="preserve">David Rutledge </t>
  </si>
  <si>
    <t xml:space="preserve">Eureka G Street LLC </t>
  </si>
  <si>
    <t xml:space="preserve">5251 Ericson Way </t>
  </si>
  <si>
    <t xml:space="preserve">Arcata </t>
  </si>
  <si>
    <t>Hailey Wilson</t>
  </si>
  <si>
    <t>hwilson@danco-group.com</t>
  </si>
  <si>
    <t xml:space="preserve">Danco Communties </t>
  </si>
  <si>
    <t>5251 Ericson Way</t>
  </si>
  <si>
    <t>Arcata</t>
  </si>
  <si>
    <t>Developer</t>
  </si>
  <si>
    <t>001-136-001-000 &amp; 001-136-002-000</t>
  </si>
  <si>
    <t>Arcata, CA, 95521</t>
  </si>
  <si>
    <t xml:space="preserve">Danco Communities </t>
  </si>
  <si>
    <t xml:space="preserve">Chris Dart </t>
  </si>
  <si>
    <t>cdart@danco-group.com</t>
  </si>
  <si>
    <t>Garrett McSorley, Architect</t>
  </si>
  <si>
    <t>2620 Wanda Lane</t>
  </si>
  <si>
    <t>McKinleyville, CA 95519</t>
  </si>
  <si>
    <t>Garrett McSorley</t>
  </si>
  <si>
    <t>707-633-9283</t>
  </si>
  <si>
    <t>garrett.mcsorley@gmail.com</t>
  </si>
  <si>
    <t>Odu &amp; Associates</t>
  </si>
  <si>
    <t>31805 Temecula Parkway #720</t>
  </si>
  <si>
    <t>Temecula, CA 92952-8203</t>
  </si>
  <si>
    <t>Nkechi Odu</t>
  </si>
  <si>
    <t>(310) 346-5491</t>
  </si>
  <si>
    <t>nkechi@odulaw.com</t>
  </si>
  <si>
    <t>Danco Builders Northwest</t>
  </si>
  <si>
    <t>5251 Ericson way</t>
  </si>
  <si>
    <t>Arcata, CA 95521</t>
  </si>
  <si>
    <t>Chris Dart</t>
  </si>
  <si>
    <t>(707) 825-1531</t>
  </si>
  <si>
    <t>(707) 822-9596</t>
  </si>
  <si>
    <t>Leavitt Christensen &amp; Co., PLLC</t>
  </si>
  <si>
    <t>6149 N Meeker Pl #250</t>
  </si>
  <si>
    <t>Boise, ID 83713</t>
  </si>
  <si>
    <t>Ryan Leavitt</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</si>
  <si>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</si>
  <si>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</si>
  <si>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</si>
  <si>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</si>
  <si>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</si>
  <si>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</si>
  <si>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</si>
  <si>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</si>
  <si>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</si>
  <si>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</si>
  <si>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</si>
  <si>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</si>
  <si>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</si>
  <si>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</si>
  <si>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</si>
  <si>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</si>
  <si>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</si>
  <si>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</si>
  <si>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 xml:space="preserve">California Municipal Finance Authority </t>
  </si>
  <si>
    <t>2111 Palomar Airport Road, Suite 320</t>
  </si>
  <si>
    <t>Carlsbad, CA 92011</t>
  </si>
  <si>
    <t>Anthony Stubbs</t>
  </si>
  <si>
    <t>astubbs@cmfa-ca.com</t>
  </si>
  <si>
    <t>Danco Property Management</t>
  </si>
  <si>
    <t xml:space="preserve">City of Eureka </t>
  </si>
  <si>
    <t>Other (Specify below)</t>
  </si>
  <si>
    <t>4 Story Building - Downtown Eureka</t>
  </si>
  <si>
    <t>Developmentally Disabled</t>
  </si>
  <si>
    <t xml:space="preserve">Residential </t>
  </si>
  <si>
    <t>R-2</t>
  </si>
  <si>
    <t>Two Embarcadero Center, 17th Floor</t>
  </si>
  <si>
    <t>San Francisco, CA 94111</t>
  </si>
  <si>
    <t>Jacob St. Onge</t>
  </si>
  <si>
    <t>415-658-3118</t>
  </si>
  <si>
    <t xml:space="preserve">Construction Loan </t>
  </si>
  <si>
    <t>133 V Street</t>
  </si>
  <si>
    <t>Eureka, CA 95501</t>
  </si>
  <si>
    <t>Greg Pratt</t>
  </si>
  <si>
    <t>Soft</t>
  </si>
  <si>
    <t>Eureka, CA 95503</t>
  </si>
  <si>
    <t xml:space="preserve">Land &amp; Soft Finaning </t>
  </si>
  <si>
    <t>525 2nd Street, Suite 3000</t>
  </si>
  <si>
    <t xml:space="preserve">Leah Thompson </t>
  </si>
  <si>
    <t xml:space="preserve">8335 Sunset Blvd, Ste 203 </t>
  </si>
  <si>
    <t xml:space="preserve">Equity </t>
  </si>
  <si>
    <t>Construction Loan</t>
  </si>
  <si>
    <t>Solar Equity</t>
  </si>
  <si>
    <t xml:space="preserve">Soft </t>
  </si>
  <si>
    <t xml:space="preserve">Land &amp; Soft Financing </t>
  </si>
  <si>
    <t>Deferred Fee</t>
  </si>
  <si>
    <t>Johnson &amp; Johnson Investments, LLC</t>
  </si>
  <si>
    <t>HTA</t>
  </si>
  <si>
    <t>DDS</t>
  </si>
  <si>
    <t>Citi Bank Tax Exempt Loan</t>
  </si>
  <si>
    <t>City Bank Taxable Loan</t>
  </si>
  <si>
    <t xml:space="preserve">HTA </t>
  </si>
  <si>
    <t>City of Eureka Land</t>
  </si>
  <si>
    <t>DDS - RCRC</t>
  </si>
  <si>
    <t>Tax Credit Equity</t>
  </si>
  <si>
    <t>Citi Bank Perm Loan</t>
  </si>
  <si>
    <t xml:space="preserve">City of Eureka Land </t>
  </si>
  <si>
    <t>DDS-RCRC</t>
  </si>
  <si>
    <t xml:space="preserve">City of Eureka  </t>
  </si>
  <si>
    <t xml:space="preserve">Developer Note </t>
  </si>
  <si>
    <t>September</t>
  </si>
  <si>
    <t>Daniel J. Johnson</t>
  </si>
  <si>
    <t xml:space="preserve">President </t>
  </si>
  <si>
    <t>Managing GP</t>
  </si>
  <si>
    <t>Administrative GP</t>
  </si>
  <si>
    <t>djohnson@danco-group.com</t>
  </si>
  <si>
    <t>HTA Funds</t>
  </si>
  <si>
    <t>DDS Funding</t>
  </si>
  <si>
    <t>CPLHA</t>
  </si>
  <si>
    <t>CUAC</t>
  </si>
  <si>
    <t xml:space="preserve">California Utility Allowance Calculator </t>
  </si>
  <si>
    <t>Inspection Fees</t>
  </si>
  <si>
    <t>Borrower's Attorney</t>
  </si>
  <si>
    <t>City of Eureka DDA Fees</t>
  </si>
  <si>
    <t xml:space="preserve">IIG Funds for the Off-Site Improvements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</si>
</sst>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16">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7">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17" fillId="5" borderId="11" xfId="0" applyFont="1" applyFill="1" applyBorder="1" applyAlignment="1" applyProtection="1">
      <alignment horizontal="lef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0" fontId="0" fillId="5" borderId="6" xfId="0"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17" fillId="5" borderId="3" xfId="569" applyFill="1" applyBorder="1" applyAlignment="1" applyProtection="1">
      <alignment horizontal="center"/>
      <protection locked="0"/>
    </xf>
    <xf numFmtId="0" fontId="17" fillId="5" borderId="4" xfId="569" applyFill="1" applyBorder="1" applyAlignment="1" applyProtection="1">
      <alignment horizontal="center"/>
      <protection locked="0"/>
    </xf>
    <xf numFmtId="0" fontId="17" fillId="5" borderId="5" xfId="569" applyFill="1" applyBorder="1" applyAlignment="1" applyProtection="1">
      <alignment horizontal="center"/>
      <protection locked="0"/>
    </xf>
    <xf numFmtId="0" fontId="17" fillId="5" borderId="4" xfId="0" applyFont="1" applyFill="1" applyBorder="1" applyAlignment="1" applyProtection="1">
      <alignment wrapText="1"/>
      <protection locked="0"/>
    </xf>
    <xf numFmtId="166" fontId="26" fillId="5" borderId="4" xfId="0" applyNumberFormat="1" applyFont="1" applyFill="1" applyBorder="1" applyAlignment="1" applyProtection="1">
      <alignment horizontal="left"/>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3" fontId="17" fillId="43" borderId="3" xfId="569" applyNumberFormat="1" applyFill="1" applyBorder="1" applyAlignment="1" applyProtection="1">
      <alignment horizontal="center"/>
      <protection locked="0"/>
    </xf>
    <xf numFmtId="3" fontId="17" fillId="43" borderId="4" xfId="569" applyNumberFormat="1" applyFill="1" applyBorder="1" applyAlignment="1" applyProtection="1">
      <alignment horizontal="center"/>
      <protection locked="0"/>
    </xf>
    <xf numFmtId="3" fontId="17" fillId="43" borderId="5" xfId="569" applyNumberFormat="1" applyFill="1" applyBorder="1" applyAlignment="1" applyProtection="1">
      <alignment horizontal="center"/>
      <protection locked="0"/>
    </xf>
    <xf numFmtId="1" fontId="17" fillId="5" borderId="3" xfId="569" applyNumberFormat="1" applyFill="1" applyBorder="1" applyAlignment="1" applyProtection="1">
      <alignment horizontal="center"/>
      <protection locked="0"/>
    </xf>
    <xf numFmtId="1" fontId="17" fillId="5" borderId="4" xfId="569" applyNumberFormat="1" applyFill="1" applyBorder="1" applyAlignment="1" applyProtection="1">
      <alignment horizontal="center"/>
      <protection locked="0"/>
    </xf>
    <xf numFmtId="1" fontId="17" fillId="5" borderId="5" xfId="569" applyNumberFormat="1" applyFill="1" applyBorder="1" applyAlignment="1" applyProtection="1">
      <alignment horizontal="center"/>
      <protection locked="0"/>
    </xf>
    <xf numFmtId="0" fontId="17" fillId="5" borderId="11" xfId="569" applyFill="1" applyBorder="1" applyProtection="1">
      <protection locked="0"/>
    </xf>
    <xf numFmtId="1" fontId="17" fillId="5" borderId="3" xfId="569" applyNumberFormat="1" applyFill="1" applyBorder="1" applyProtection="1">
      <protection locked="0"/>
    </xf>
    <xf numFmtId="1" fontId="17" fillId="5" borderId="4" xfId="569" applyNumberFormat="1" applyFill="1" applyBorder="1" applyProtection="1">
      <protection locked="0"/>
    </xf>
    <xf numFmtId="1" fontId="17" fillId="5" borderId="5" xfId="569" applyNumberFormat="1" applyFill="1" applyBorder="1" applyProtection="1">
      <protection locked="0"/>
    </xf>
    <xf numFmtId="175" fontId="17" fillId="5" borderId="3" xfId="569" applyNumberFormat="1" applyFill="1" applyBorder="1" applyProtection="1">
      <protection locked="0"/>
    </xf>
    <xf numFmtId="175" fontId="17" fillId="5" borderId="4" xfId="569" applyNumberFormat="1" applyFill="1" applyBorder="1" applyProtection="1">
      <protection locked="0"/>
    </xf>
    <xf numFmtId="175" fontId="17" fillId="5" borderId="5" xfId="569" applyNumberFormat="1" applyFill="1" applyBorder="1" applyProtection="1">
      <protection locked="0"/>
    </xf>
    <xf numFmtId="175" fontId="17" fillId="43" borderId="3" xfId="569" applyNumberFormat="1" applyFill="1" applyBorder="1" applyAlignment="1" applyProtection="1">
      <alignment horizontal="center"/>
      <protection locked="0"/>
    </xf>
    <xf numFmtId="175" fontId="17" fillId="43" borderId="4" xfId="569" applyNumberFormat="1" applyFill="1" applyBorder="1" applyAlignment="1" applyProtection="1">
      <alignment horizontal="center"/>
      <protection locked="0"/>
    </xf>
    <xf numFmtId="175" fontId="17" fillId="43" borderId="5" xfId="569" applyNumberFormat="1" applyFill="1" applyBorder="1" applyAlignment="1" applyProtection="1">
      <alignment horizontal="center"/>
      <protection locked="0"/>
    </xf>
    <xf numFmtId="0" fontId="17" fillId="5" borderId="11" xfId="569" applyFill="1" applyBorder="1" applyAlignment="1" applyProtection="1">
      <alignment horizontal="left" vertic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7"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4" fillId="0" borderId="6" xfId="0" applyFont="1" applyBorder="1" applyAlignment="1">
      <alignment horizontal="center"/>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17" fillId="0" borderId="11" xfId="543" applyBorder="1" applyAlignment="1">
      <alignment horizontal="center"/>
    </xf>
    <xf numFmtId="0" fontId="26" fillId="5" borderId="4" xfId="0" applyFont="1" applyFill="1" applyBorder="1" applyAlignment="1" applyProtection="1">
      <alignment wrapText="1"/>
      <protection locked="0"/>
    </xf>
    <xf numFmtId="0" fontId="36"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2" fontId="0" fillId="0" borderId="6" xfId="0" applyNumberFormat="1" applyBorder="1" applyAlignment="1">
      <alignment horizontal="center"/>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0" borderId="0" xfId="0" applyFont="1" applyAlignment="1">
      <alignment horizontal="left" vertical="top" wrapText="1"/>
    </xf>
    <xf numFmtId="168" fontId="0" fillId="5" borderId="6" xfId="0" applyNumberForma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26" fillId="5" borderId="6" xfId="0" applyNumberFormat="1" applyFont="1" applyFill="1" applyBorder="1" applyAlignment="1" applyProtection="1">
      <alignment horizontal="left"/>
      <protection locked="0"/>
    </xf>
    <xf numFmtId="0" fontId="0" fillId="0" borderId="0" xfId="0" applyAlignment="1">
      <alignment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0" fontId="24" fillId="0" borderId="9"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7" fillId="0" borderId="0" xfId="543" applyAlignment="1">
      <alignment horizontal="center"/>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2" fontId="17" fillId="0" borderId="0" xfId="543" applyNumberFormat="1" applyAlignment="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168" fontId="0" fillId="0" borderId="11" xfId="0" applyNumberFormat="1" applyBorder="1" applyAlignment="1">
      <alignment horizontal="center"/>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14" fontId="0" fillId="5" borderId="4" xfId="0" applyNumberFormat="1" applyFill="1" applyBorder="1" applyAlignment="1" applyProtection="1">
      <alignment horizontal="center"/>
      <protection locked="0"/>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1" xfId="0" applyFont="1" applyBorder="1" applyAlignment="1">
      <alignment horizontal="center" vertical="center"/>
    </xf>
    <xf numFmtId="0" fontId="24" fillId="0" borderId="9" xfId="0" applyFont="1" applyBorder="1" applyAlignment="1">
      <alignment horizontal="right"/>
    </xf>
    <xf numFmtId="0" fontId="24" fillId="0" borderId="10" xfId="0" applyFont="1" applyBorder="1" applyAlignment="1">
      <alignment horizontal="right"/>
    </xf>
    <xf numFmtId="10" fontId="0" fillId="5" borderId="4" xfId="0" applyNumberFormat="1" applyFill="1" applyBorder="1" applyAlignment="1" applyProtection="1">
      <alignment horizontal="center"/>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12" xfId="0" applyFont="1" applyBorder="1" applyAlignment="1">
      <alignment horizontal="center" wrapText="1"/>
    </xf>
    <xf numFmtId="0" fontId="24" fillId="0" borderId="9" xfId="0" applyFont="1" applyBorder="1" applyAlignment="1">
      <alignment horizontal="center" wrapText="1"/>
    </xf>
    <xf numFmtId="0" fontId="26" fillId="0" borderId="3" xfId="0" applyFont="1" applyBorder="1" applyAlignment="1">
      <alignment horizontal="left"/>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43" borderId="11" xfId="0" applyFont="1" applyFill="1" applyBorder="1" applyAlignment="1" applyProtection="1">
      <alignment horizontal="center"/>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17" fillId="0" borderId="11" xfId="543" applyNumberFormat="1"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9" fontId="17" fillId="5" borderId="3" xfId="0" applyNumberFormat="1" applyFont="1" applyFill="1" applyBorder="1" applyAlignment="1" applyProtection="1">
      <alignment horizontal="righ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xf numFmtId="0" fontId="22" fillId="0" borderId="6" xfId="271" applyFont="1" applyBorder="1" applyAlignment="1">
      <alignment horizontal="center"/>
    </xf>
    <xf numFmtId="0" fontId="22" fillId="0" borderId="0" xfId="0" applyFont="1" applyAlignment="1" applyProtection="1">
      <alignment wrapText="1"/>
      <protection locked="0"/>
    </xf>
  </cellXfs>
  <cellStyles count="18016">
    <cellStyle name="20% - Accent1" xfId="1" builtinId="30" customBuiltin="1"/>
    <cellStyle name="20% - Accent1 10" xfId="4504" xr:uid="{00000000-0005-0000-0000-000001000000}"/>
    <cellStyle name="20% - Accent1 10 2" xfId="13786" xr:uid="{B2E11450-0F75-4B8B-8C70-45A3B62E76BF}"/>
    <cellStyle name="20% - Accent1 11" xfId="9569" xr:uid="{E84CDE0F-A46C-4C5E-9D73-90718154945D}"/>
    <cellStyle name="20% - Accent1 12" xfId="8736" xr:uid="{33F9E145-BE2D-43CB-A1C1-F4945C500CC4}"/>
    <cellStyle name="20% - Accent1 2" xfId="2" xr:uid="{00000000-0005-0000-0000-000002000000}"/>
    <cellStyle name="20% - Accent1 2 10" xfId="9570" xr:uid="{FB35B2DB-53B7-4017-8A31-98A925CC6595}"/>
    <cellStyle name="20% - Accent1 2 11" xfId="8737" xr:uid="{C3CB98EB-971E-4646-BF97-42B7EB961AEA}"/>
    <cellStyle name="20% - Accent1 2 2" xfId="3" xr:uid="{00000000-0005-0000-0000-000003000000}"/>
    <cellStyle name="20% - Accent1 2 2 10" xfId="8738" xr:uid="{6D244852-CBB8-4BFE-B7BF-60801461CA66}"/>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48" xr:uid="{96118DE4-8A31-43A5-B5CE-3262CF8DE552}"/>
    <cellStyle name="20% - Accent1 2 2 2 2 2 3" xfId="12131" xr:uid="{9A37606D-6D77-47DF-830A-25786DDD1F13}"/>
    <cellStyle name="20% - Accent1 2 2 2 2 3" xfId="4921" xr:uid="{00000000-0005-0000-0000-000008000000}"/>
    <cellStyle name="20% - Accent1 2 2 2 2 3 2" xfId="14203" xr:uid="{8567A61F-502A-4257-8A14-BDEE5F05D1DC}"/>
    <cellStyle name="20% - Accent1 2 2 2 2 4" xfId="9986" xr:uid="{0190DEA4-1624-4D96-B7FC-0C76E8C46BD4}"/>
    <cellStyle name="20% - Accent1 2 2 2 2 5" xfId="9156" xr:uid="{90D4E5BD-985A-41B8-8DCE-8A6DB48B7F82}"/>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761" xr:uid="{61E561AF-0E17-41B7-9B74-F5E4652BCEB5}"/>
    <cellStyle name="20% - Accent1 2 2 2 3 2 3" xfId="12544" xr:uid="{465879C9-3785-4672-B70D-2A652423587A}"/>
    <cellStyle name="20% - Accent1 2 2 2 3 3" xfId="5334" xr:uid="{00000000-0005-0000-0000-00000C000000}"/>
    <cellStyle name="20% - Accent1 2 2 2 3 3 2" xfId="14616" xr:uid="{80DE2892-1950-4C5A-B37D-40770E3D148F}"/>
    <cellStyle name="20% - Accent1 2 2 2 3 4" xfId="10399" xr:uid="{D7231579-93BE-4A9B-A17F-1CEE2A5CEAB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174" xr:uid="{38E8E1E3-2A3A-4046-8E3A-5E779B160AC0}"/>
    <cellStyle name="20% - Accent1 2 2 2 4 2 3" xfId="12957" xr:uid="{806C6D27-09B5-4257-8079-566FE0AB6AD0}"/>
    <cellStyle name="20% - Accent1 2 2 2 4 3" xfId="5747" xr:uid="{00000000-0005-0000-0000-000010000000}"/>
    <cellStyle name="20% - Accent1 2 2 2 4 3 2" xfId="15029" xr:uid="{06D98E64-1627-461B-A77A-4EEB326DA34A}"/>
    <cellStyle name="20% - Accent1 2 2 2 4 4" xfId="10812" xr:uid="{D351BF5F-8F5B-4EE1-B6AA-F0C64610842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587" xr:uid="{16F03860-09CF-4D81-95F6-91E04F108D30}"/>
    <cellStyle name="20% - Accent1 2 2 2 5 2 3" xfId="13370" xr:uid="{EEA46390-829A-4ACB-A804-BCFDA6077174}"/>
    <cellStyle name="20% - Accent1 2 2 2 5 3" xfId="6160" xr:uid="{00000000-0005-0000-0000-000014000000}"/>
    <cellStyle name="20% - Accent1 2 2 2 5 3 2" xfId="15442" xr:uid="{00A520C7-B25A-44D7-9068-353C4ECFD7A6}"/>
    <cellStyle name="20% - Accent1 2 2 2 5 4" xfId="11225" xr:uid="{531C3BF4-9027-448B-ADFC-61F552C49FFC}"/>
    <cellStyle name="20% - Accent1 2 2 2 6" xfId="2267" xr:uid="{00000000-0005-0000-0000-000015000000}"/>
    <cellStyle name="20% - Accent1 2 2 2 6 2" xfId="6573" xr:uid="{00000000-0005-0000-0000-000016000000}"/>
    <cellStyle name="20% - Accent1 2 2 2 6 2 2" xfId="15855" xr:uid="{DCA004E7-6CD9-4064-8CB6-40CE893750C8}"/>
    <cellStyle name="20% - Accent1 2 2 2 6 3" xfId="11638" xr:uid="{68C3A75E-1537-4244-B141-279DF2416ACD}"/>
    <cellStyle name="20% - Accent1 2 2 2 7" xfId="4507" xr:uid="{00000000-0005-0000-0000-000017000000}"/>
    <cellStyle name="20% - Accent1 2 2 2 7 2" xfId="13789" xr:uid="{7231D5B9-E117-4D50-818F-BE10483A64CD}"/>
    <cellStyle name="20% - Accent1 2 2 2 8" xfId="9572" xr:uid="{21982F6B-E168-47D3-A790-058785C8E16B}"/>
    <cellStyle name="20% - Accent1 2 2 2 9" xfId="8739" xr:uid="{E91D37BC-CC8F-4C51-925F-5F5D8FCCE6F6}"/>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47" xr:uid="{A88BFEDC-69A3-4EDD-A6B4-8E73C04DDD12}"/>
    <cellStyle name="20% - Accent1 2 2 3 2 3" xfId="12130" xr:uid="{BFE66B19-0C68-42B4-9452-55573EB6544C}"/>
    <cellStyle name="20% - Accent1 2 2 3 3" xfId="4920" xr:uid="{00000000-0005-0000-0000-00001B000000}"/>
    <cellStyle name="20% - Accent1 2 2 3 3 2" xfId="14202" xr:uid="{3746B414-E9F0-494E-99DB-072DDAC3A609}"/>
    <cellStyle name="20% - Accent1 2 2 3 4" xfId="9985" xr:uid="{FCB494ED-6F95-4B3E-B4CC-B77AD5E1A8BB}"/>
    <cellStyle name="20% - Accent1 2 2 3 5" xfId="9155" xr:uid="{FBE29A8D-94EB-4DDA-86E6-81573C99EC7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760" xr:uid="{25089F9D-74FE-4091-9FDF-073D721AB845}"/>
    <cellStyle name="20% - Accent1 2 2 4 2 3" xfId="12543" xr:uid="{244922D0-6F25-427F-8D0A-6539BE9D5F2B}"/>
    <cellStyle name="20% - Accent1 2 2 4 3" xfId="5333" xr:uid="{00000000-0005-0000-0000-00001F000000}"/>
    <cellStyle name="20% - Accent1 2 2 4 3 2" xfId="14615" xr:uid="{62762C3E-2788-424E-BE27-72BDA9DC2A0D}"/>
    <cellStyle name="20% - Accent1 2 2 4 4" xfId="10398" xr:uid="{9E8F1DC7-05D4-42B9-85E1-EFCE8F3C3D3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173" xr:uid="{04933FFB-2E12-42C0-B17C-553261AB93D5}"/>
    <cellStyle name="20% - Accent1 2 2 5 2 3" xfId="12956" xr:uid="{5C7F9EE4-0163-41A4-A302-00A5E9363C63}"/>
    <cellStyle name="20% - Accent1 2 2 5 3" xfId="5746" xr:uid="{00000000-0005-0000-0000-000023000000}"/>
    <cellStyle name="20% - Accent1 2 2 5 3 2" xfId="15028" xr:uid="{DA129D7E-69D2-442D-A99C-8F3CD60A7DB7}"/>
    <cellStyle name="20% - Accent1 2 2 5 4" xfId="10811" xr:uid="{2CD5F58F-FA08-4E45-8373-E1312172A35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586" xr:uid="{E8000EBF-D710-4380-B84C-0FA397C2D41D}"/>
    <cellStyle name="20% - Accent1 2 2 6 2 3" xfId="13369" xr:uid="{08217EE7-2FD1-4960-BD8C-20B2EAFD4BE2}"/>
    <cellStyle name="20% - Accent1 2 2 6 3" xfId="6159" xr:uid="{00000000-0005-0000-0000-000027000000}"/>
    <cellStyle name="20% - Accent1 2 2 6 3 2" xfId="15441" xr:uid="{1948FF0F-FB77-4C83-8CD7-505BF192ECC1}"/>
    <cellStyle name="20% - Accent1 2 2 6 4" xfId="11224" xr:uid="{70126BAB-87D2-4475-A6B0-1EC48831FE2B}"/>
    <cellStyle name="20% - Accent1 2 2 7" xfId="2266" xr:uid="{00000000-0005-0000-0000-000028000000}"/>
    <cellStyle name="20% - Accent1 2 2 7 2" xfId="6572" xr:uid="{00000000-0005-0000-0000-000029000000}"/>
    <cellStyle name="20% - Accent1 2 2 7 2 2" xfId="15854" xr:uid="{A6BD4813-0E77-4585-BE72-E50353BED485}"/>
    <cellStyle name="20% - Accent1 2 2 7 3" xfId="11637" xr:uid="{F0C2BB05-6E01-4E9F-A3D7-E3903B89BA8E}"/>
    <cellStyle name="20% - Accent1 2 2 8" xfId="4506" xr:uid="{00000000-0005-0000-0000-00002A000000}"/>
    <cellStyle name="20% - Accent1 2 2 8 2" xfId="13788" xr:uid="{875FA211-869B-4094-8925-F58819C9FCCE}"/>
    <cellStyle name="20% - Accent1 2 2 9" xfId="9571" xr:uid="{CBA8CE19-9776-4E0C-9657-AD6EF498078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49" xr:uid="{849624B6-55F2-4103-9943-1E2235D85B05}"/>
    <cellStyle name="20% - Accent1 2 3 2 2 3" xfId="12132" xr:uid="{9ADEFF1D-7CD7-4207-A5E8-6CF643735943}"/>
    <cellStyle name="20% - Accent1 2 3 2 3" xfId="4922" xr:uid="{00000000-0005-0000-0000-00002F000000}"/>
    <cellStyle name="20% - Accent1 2 3 2 3 2" xfId="14204" xr:uid="{AEC7B36D-3785-462E-93FF-0D81C684C154}"/>
    <cellStyle name="20% - Accent1 2 3 2 4" xfId="9987" xr:uid="{B4A90821-8812-4030-9060-A06264757875}"/>
    <cellStyle name="20% - Accent1 2 3 2 5" xfId="9157" xr:uid="{FCD61DEF-3D9E-444D-96B6-CAC886EBAA0F}"/>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762" xr:uid="{D9AEA476-3FF1-4FDA-B895-215EB052D610}"/>
    <cellStyle name="20% - Accent1 2 3 3 2 3" xfId="12545" xr:uid="{996FBB2D-342E-4D30-ACE9-411A15661B88}"/>
    <cellStyle name="20% - Accent1 2 3 3 3" xfId="5335" xr:uid="{00000000-0005-0000-0000-000033000000}"/>
    <cellStyle name="20% - Accent1 2 3 3 3 2" xfId="14617" xr:uid="{6D08EC0F-63A2-4DFE-BE5B-632A124D7B63}"/>
    <cellStyle name="20% - Accent1 2 3 3 4" xfId="10400" xr:uid="{9529A17E-0126-4B48-A5A9-88F4E4C3937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175" xr:uid="{40E66CF7-4858-4FFE-B703-A410BFEC5652}"/>
    <cellStyle name="20% - Accent1 2 3 4 2 3" xfId="12958" xr:uid="{66D8B33A-41C7-4DE3-969D-02CAA603B369}"/>
    <cellStyle name="20% - Accent1 2 3 4 3" xfId="5748" xr:uid="{00000000-0005-0000-0000-000037000000}"/>
    <cellStyle name="20% - Accent1 2 3 4 3 2" xfId="15030" xr:uid="{EC209CEB-38CF-4B83-A672-7A5A03E7DD99}"/>
    <cellStyle name="20% - Accent1 2 3 4 4" xfId="10813" xr:uid="{9DAE3D88-A748-4B65-A3C5-8D93ABED13C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588" xr:uid="{7BDA4F09-1F50-4A77-85BB-EC0B8F2338BB}"/>
    <cellStyle name="20% - Accent1 2 3 5 2 3" xfId="13371" xr:uid="{B65A7F22-4DC2-4AE8-A88F-679B8DB88092}"/>
    <cellStyle name="20% - Accent1 2 3 5 3" xfId="6161" xr:uid="{00000000-0005-0000-0000-00003B000000}"/>
    <cellStyle name="20% - Accent1 2 3 5 3 2" xfId="15443" xr:uid="{45162C6C-B718-4846-A3C5-FF6F965DD829}"/>
    <cellStyle name="20% - Accent1 2 3 5 4" xfId="11226" xr:uid="{388F2457-5937-463D-AC66-3C3D8BF21DA0}"/>
    <cellStyle name="20% - Accent1 2 3 6" xfId="2268" xr:uid="{00000000-0005-0000-0000-00003C000000}"/>
    <cellStyle name="20% - Accent1 2 3 6 2" xfId="6574" xr:uid="{00000000-0005-0000-0000-00003D000000}"/>
    <cellStyle name="20% - Accent1 2 3 6 2 2" xfId="15856" xr:uid="{2B98875C-CBB9-41AA-9285-0C9CD4CB56CF}"/>
    <cellStyle name="20% - Accent1 2 3 6 3" xfId="11639" xr:uid="{30EA5CCF-26A7-44B3-BD25-9EEF708E32AC}"/>
    <cellStyle name="20% - Accent1 2 3 7" xfId="4508" xr:uid="{00000000-0005-0000-0000-00003E000000}"/>
    <cellStyle name="20% - Accent1 2 3 7 2" xfId="13790" xr:uid="{76731DAE-4414-4287-8B2D-702FE8A9762F}"/>
    <cellStyle name="20% - Accent1 2 3 8" xfId="9573" xr:uid="{6D6460B6-E353-487E-9028-89A0FC329FBD}"/>
    <cellStyle name="20% - Accent1 2 3 9" xfId="8740" xr:uid="{7CB7B753-D4CA-40F2-97AB-957BF84DBE85}"/>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46" xr:uid="{5623BA77-2AFE-4E66-8F23-9143BB88CFCB}"/>
    <cellStyle name="20% - Accent1 2 4 2 3" xfId="12129" xr:uid="{0EF113CA-F5A3-4560-99D4-34A15CF0C826}"/>
    <cellStyle name="20% - Accent1 2 4 3" xfId="4919" xr:uid="{00000000-0005-0000-0000-000042000000}"/>
    <cellStyle name="20% - Accent1 2 4 3 2" xfId="14201" xr:uid="{A521D396-1F15-4BB3-A727-5FDD3066BD10}"/>
    <cellStyle name="20% - Accent1 2 4 4" xfId="9984" xr:uid="{EC81B3A9-33F5-4D08-AB82-DFEBC47D9F99}"/>
    <cellStyle name="20% - Accent1 2 4 5" xfId="9154" xr:uid="{46A49C90-AE41-4019-B901-700FDB9ED316}"/>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759" xr:uid="{362D8719-88A1-4A63-A4A1-4690F76093B8}"/>
    <cellStyle name="20% - Accent1 2 5 2 3" xfId="12542" xr:uid="{4CFAEF73-E073-495F-B071-A4A209F3CEBF}"/>
    <cellStyle name="20% - Accent1 2 5 3" xfId="5332" xr:uid="{00000000-0005-0000-0000-000046000000}"/>
    <cellStyle name="20% - Accent1 2 5 3 2" xfId="14614" xr:uid="{78F1AA95-D2ED-4184-AFAC-76835EC2D74C}"/>
    <cellStyle name="20% - Accent1 2 5 4" xfId="10397" xr:uid="{518D457C-B137-4C65-92B7-7DFE5755FB03}"/>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172" xr:uid="{0282230D-3581-4F48-BD42-DC48ABF1C4EF}"/>
    <cellStyle name="20% - Accent1 2 6 2 3" xfId="12955" xr:uid="{D58258C2-795A-4243-A285-29DC4EA76740}"/>
    <cellStyle name="20% - Accent1 2 6 3" xfId="5745" xr:uid="{00000000-0005-0000-0000-00004A000000}"/>
    <cellStyle name="20% - Accent1 2 6 3 2" xfId="15027" xr:uid="{CA42FD25-BAC9-47AE-87EA-062E3CDABA85}"/>
    <cellStyle name="20% - Accent1 2 6 4" xfId="10810" xr:uid="{D724A343-44C2-4564-BD4C-6DE9816305D4}"/>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585" xr:uid="{8966A7F7-3C7C-472A-A6F8-810FF654054B}"/>
    <cellStyle name="20% - Accent1 2 7 2 3" xfId="13368" xr:uid="{08B170F9-6D0A-415F-8E33-BE63C02992FC}"/>
    <cellStyle name="20% - Accent1 2 7 3" xfId="6158" xr:uid="{00000000-0005-0000-0000-00004E000000}"/>
    <cellStyle name="20% - Accent1 2 7 3 2" xfId="15440" xr:uid="{9BEA6118-CB5D-401B-B395-106FEE449D1E}"/>
    <cellStyle name="20% - Accent1 2 7 4" xfId="11223" xr:uid="{636C9663-2B66-4DCF-9B22-7090B8C5E955}"/>
    <cellStyle name="20% - Accent1 2 8" xfId="2265" xr:uid="{00000000-0005-0000-0000-00004F000000}"/>
    <cellStyle name="20% - Accent1 2 8 2" xfId="6571" xr:uid="{00000000-0005-0000-0000-000050000000}"/>
    <cellStyle name="20% - Accent1 2 8 2 2" xfId="15853" xr:uid="{FF01D6F8-1D2C-4AEF-BB01-220C2FD65558}"/>
    <cellStyle name="20% - Accent1 2 8 3" xfId="11636" xr:uid="{B4621C61-7E38-4BA3-8512-48AE5672931B}"/>
    <cellStyle name="20% - Accent1 2 9" xfId="4505" xr:uid="{00000000-0005-0000-0000-000051000000}"/>
    <cellStyle name="20% - Accent1 2 9 2" xfId="13787" xr:uid="{B8A8E20C-7B67-4E93-B9D6-FF9F4FE30876}"/>
    <cellStyle name="20% - Accent1 3" xfId="6" xr:uid="{00000000-0005-0000-0000-000052000000}"/>
    <cellStyle name="20% - Accent1 3 10" xfId="8741" xr:uid="{8C220102-82B2-4EE6-9677-0151C81A7CB1}"/>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51" xr:uid="{65E61815-2B19-4B2A-9BB7-A5AFC43C09B8}"/>
    <cellStyle name="20% - Accent1 3 2 2 2 3" xfId="12134" xr:uid="{C5E7CFC3-5DE6-4746-AA37-4806FC6EBFE0}"/>
    <cellStyle name="20% - Accent1 3 2 2 3" xfId="4924" xr:uid="{00000000-0005-0000-0000-000057000000}"/>
    <cellStyle name="20% - Accent1 3 2 2 3 2" xfId="14206" xr:uid="{4CF04545-3B31-4504-994E-166C4AAFE5C4}"/>
    <cellStyle name="20% - Accent1 3 2 2 4" xfId="9989" xr:uid="{BEC12C19-C3D5-45AC-843A-85702C2A5B8E}"/>
    <cellStyle name="20% - Accent1 3 2 2 5" xfId="9159" xr:uid="{CC1AAA13-C29F-4EB1-8DBE-F9CD8909351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764" xr:uid="{9D36A995-FE71-474B-A162-36B001B7CBDF}"/>
    <cellStyle name="20% - Accent1 3 2 3 2 3" xfId="12547" xr:uid="{38AE7CE5-57AA-40FF-AF1E-1C82CB4D95E3}"/>
    <cellStyle name="20% - Accent1 3 2 3 3" xfId="5337" xr:uid="{00000000-0005-0000-0000-00005B000000}"/>
    <cellStyle name="20% - Accent1 3 2 3 3 2" xfId="14619" xr:uid="{2193D125-5755-4B0A-9DA1-A88555B9C24D}"/>
    <cellStyle name="20% - Accent1 3 2 3 4" xfId="10402" xr:uid="{D701CCBF-1ADF-4F61-AED6-DDBA01E31C9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177" xr:uid="{0F821210-4A64-44EF-ADDD-04551FEADEE6}"/>
    <cellStyle name="20% - Accent1 3 2 4 2 3" xfId="12960" xr:uid="{67C410A1-3947-4A05-A788-D71F6541B618}"/>
    <cellStyle name="20% - Accent1 3 2 4 3" xfId="5750" xr:uid="{00000000-0005-0000-0000-00005F000000}"/>
    <cellStyle name="20% - Accent1 3 2 4 3 2" xfId="15032" xr:uid="{9FA95069-6F8F-4B68-BEF2-5973F758D340}"/>
    <cellStyle name="20% - Accent1 3 2 4 4" xfId="10815" xr:uid="{990EB811-EF52-47F3-A4DC-B86137643637}"/>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590" xr:uid="{6A43B9BD-43FB-43BD-93DC-8DCA8C7A54DD}"/>
    <cellStyle name="20% - Accent1 3 2 5 2 3" xfId="13373" xr:uid="{82BA18E1-B688-4398-AE63-8D8355CD5484}"/>
    <cellStyle name="20% - Accent1 3 2 5 3" xfId="6163" xr:uid="{00000000-0005-0000-0000-000063000000}"/>
    <cellStyle name="20% - Accent1 3 2 5 3 2" xfId="15445" xr:uid="{12CCCBB9-0414-4CA3-8AFC-81A602741C23}"/>
    <cellStyle name="20% - Accent1 3 2 5 4" xfId="11228" xr:uid="{2DD3D013-C84B-49DB-B918-6CA191D2A7EA}"/>
    <cellStyle name="20% - Accent1 3 2 6" xfId="2270" xr:uid="{00000000-0005-0000-0000-000064000000}"/>
    <cellStyle name="20% - Accent1 3 2 6 2" xfId="6576" xr:uid="{00000000-0005-0000-0000-000065000000}"/>
    <cellStyle name="20% - Accent1 3 2 6 2 2" xfId="15858" xr:uid="{A1576DCC-6852-43DA-9E4A-31642BDD322D}"/>
    <cellStyle name="20% - Accent1 3 2 6 3" xfId="11641" xr:uid="{65166CC0-3929-4736-BCCE-09776A405A5B}"/>
    <cellStyle name="20% - Accent1 3 2 7" xfId="4510" xr:uid="{00000000-0005-0000-0000-000066000000}"/>
    <cellStyle name="20% - Accent1 3 2 7 2" xfId="13792" xr:uid="{E10EA506-8318-4173-AE7B-C91E11217312}"/>
    <cellStyle name="20% - Accent1 3 2 8" xfId="9575" xr:uid="{BDA90ACF-CBDA-4B58-AA0C-76F9BD010D78}"/>
    <cellStyle name="20% - Accent1 3 2 9" xfId="8742" xr:uid="{AD01B190-BF46-424D-BE82-FB3621FC3447}"/>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50" xr:uid="{8D3AE06A-4010-4ED3-B8C2-42C918864705}"/>
    <cellStyle name="20% - Accent1 3 3 2 3" xfId="12133" xr:uid="{68D2A4B7-C662-4DEC-AAD6-CCCF90EF7697}"/>
    <cellStyle name="20% - Accent1 3 3 3" xfId="4923" xr:uid="{00000000-0005-0000-0000-00006A000000}"/>
    <cellStyle name="20% - Accent1 3 3 3 2" xfId="14205" xr:uid="{82F17C98-3A6C-4BCC-A6D3-D91EE1DCA9F2}"/>
    <cellStyle name="20% - Accent1 3 3 4" xfId="9988" xr:uid="{D37EDAD5-DFEA-41CC-88AF-64B75693BB0B}"/>
    <cellStyle name="20% - Accent1 3 3 5" xfId="9158" xr:uid="{F6DB6954-98CC-4332-94EC-F7CA3470C6AC}"/>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763" xr:uid="{2FF0008B-A049-4A6D-BE0F-325747B78C53}"/>
    <cellStyle name="20% - Accent1 3 4 2 3" xfId="12546" xr:uid="{7409335D-7F88-4EA5-B0E4-4D7192665B78}"/>
    <cellStyle name="20% - Accent1 3 4 3" xfId="5336" xr:uid="{00000000-0005-0000-0000-00006E000000}"/>
    <cellStyle name="20% - Accent1 3 4 3 2" xfId="14618" xr:uid="{77DDAC69-10CC-4887-8815-F91955FB9514}"/>
    <cellStyle name="20% - Accent1 3 4 4" xfId="10401" xr:uid="{4C976809-0BB2-4CE2-9B8D-1E0B472ECC63}"/>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176" xr:uid="{BE40182F-4FE6-479B-AB1E-B6B6264BDFCD}"/>
    <cellStyle name="20% - Accent1 3 5 2 3" xfId="12959" xr:uid="{A93FDC0E-6A53-4195-819A-3C4B90D179BC}"/>
    <cellStyle name="20% - Accent1 3 5 3" xfId="5749" xr:uid="{00000000-0005-0000-0000-000072000000}"/>
    <cellStyle name="20% - Accent1 3 5 3 2" xfId="15031" xr:uid="{16EAB7E2-A9C0-49BD-A233-4C3FA61538D8}"/>
    <cellStyle name="20% - Accent1 3 5 4" xfId="10814" xr:uid="{AD54D1A8-DA52-42D8-8C32-3F3C8E679ED6}"/>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589" xr:uid="{DA12B42E-EADC-475A-9F17-E1447B46FA6E}"/>
    <cellStyle name="20% - Accent1 3 6 2 3" xfId="13372" xr:uid="{D40FDB84-F56B-461C-BEA5-F1561403E477}"/>
    <cellStyle name="20% - Accent1 3 6 3" xfId="6162" xr:uid="{00000000-0005-0000-0000-000076000000}"/>
    <cellStyle name="20% - Accent1 3 6 3 2" xfId="15444" xr:uid="{A44ACF42-492D-4AF5-940A-DDD36F781FBC}"/>
    <cellStyle name="20% - Accent1 3 6 4" xfId="11227" xr:uid="{F6FA336D-E9F7-4EE0-B2DE-E0D970541797}"/>
    <cellStyle name="20% - Accent1 3 7" xfId="2269" xr:uid="{00000000-0005-0000-0000-000077000000}"/>
    <cellStyle name="20% - Accent1 3 7 2" xfId="6575" xr:uid="{00000000-0005-0000-0000-000078000000}"/>
    <cellStyle name="20% - Accent1 3 7 2 2" xfId="15857" xr:uid="{C6E62324-8D47-419E-82C9-8B6207D84231}"/>
    <cellStyle name="20% - Accent1 3 7 3" xfId="11640" xr:uid="{AA5A082F-66E9-4C85-83AF-9B2975AE2194}"/>
    <cellStyle name="20% - Accent1 3 8" xfId="4509" xr:uid="{00000000-0005-0000-0000-000079000000}"/>
    <cellStyle name="20% - Accent1 3 8 2" xfId="13791" xr:uid="{8B43D563-C48F-4595-ACE7-14AF96783A85}"/>
    <cellStyle name="20% - Accent1 3 9" xfId="9574" xr:uid="{BC6F7928-CBE3-4268-B365-71EE40089441}"/>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52" xr:uid="{B5B4FC41-C916-4178-AEAA-3E4AE98E22B0}"/>
    <cellStyle name="20% - Accent1 4 2 2 3" xfId="12135" xr:uid="{5748D16D-EC6F-4121-A7BC-1B9472AC38F4}"/>
    <cellStyle name="20% - Accent1 4 2 3" xfId="4925" xr:uid="{00000000-0005-0000-0000-00007E000000}"/>
    <cellStyle name="20% - Accent1 4 2 3 2" xfId="14207" xr:uid="{402257F0-A9E2-4562-8770-9B8D1FFA7932}"/>
    <cellStyle name="20% - Accent1 4 2 4" xfId="9990" xr:uid="{6BA94322-2E35-46B6-AA10-250079C11197}"/>
    <cellStyle name="20% - Accent1 4 2 5" xfId="9160" xr:uid="{E2419CB5-ADD3-4C30-820D-DB3427C88D09}"/>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765" xr:uid="{B82F68A1-8B7D-4202-A297-461829F80CF6}"/>
    <cellStyle name="20% - Accent1 4 3 2 3" xfId="12548" xr:uid="{A1139769-AE8F-4999-8F84-F8B420C1B813}"/>
    <cellStyle name="20% - Accent1 4 3 3" xfId="5338" xr:uid="{00000000-0005-0000-0000-000082000000}"/>
    <cellStyle name="20% - Accent1 4 3 3 2" xfId="14620" xr:uid="{C23BABD7-CDDC-44DE-ABDC-82B3D2906E3F}"/>
    <cellStyle name="20% - Accent1 4 3 4" xfId="10403" xr:uid="{D83B63F1-FC60-49D8-AB79-E62CD46903A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178" xr:uid="{FBE72AB6-31EE-4C92-BD02-9EF3D2F960A5}"/>
    <cellStyle name="20% - Accent1 4 4 2 3" xfId="12961" xr:uid="{5A3B95D7-836D-4E4F-808E-A081330B5BF8}"/>
    <cellStyle name="20% - Accent1 4 4 3" xfId="5751" xr:uid="{00000000-0005-0000-0000-000086000000}"/>
    <cellStyle name="20% - Accent1 4 4 3 2" xfId="15033" xr:uid="{BB6A33C6-4CD3-4722-928F-F27573BEDD57}"/>
    <cellStyle name="20% - Accent1 4 4 4" xfId="10816" xr:uid="{92E85424-1A2B-4CF1-87FD-9D2AFCC277F9}"/>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591" xr:uid="{22F3922D-E2D3-43E5-9F8B-EF8B314E6B79}"/>
    <cellStyle name="20% - Accent1 4 5 2 3" xfId="13374" xr:uid="{25971DAB-8793-4362-9460-2D6934F138B3}"/>
    <cellStyle name="20% - Accent1 4 5 3" xfId="6164" xr:uid="{00000000-0005-0000-0000-00008A000000}"/>
    <cellStyle name="20% - Accent1 4 5 3 2" xfId="15446" xr:uid="{A817572F-8604-4F7D-8096-B8706D267992}"/>
    <cellStyle name="20% - Accent1 4 5 4" xfId="11229" xr:uid="{F9A96C1F-6600-4BB8-9EDF-5F32BFE0084A}"/>
    <cellStyle name="20% - Accent1 4 6" xfId="2271" xr:uid="{00000000-0005-0000-0000-00008B000000}"/>
    <cellStyle name="20% - Accent1 4 6 2" xfId="6577" xr:uid="{00000000-0005-0000-0000-00008C000000}"/>
    <cellStyle name="20% - Accent1 4 6 2 2" xfId="15859" xr:uid="{F6DC8AB6-5041-4E53-AC5E-A3A9DF531973}"/>
    <cellStyle name="20% - Accent1 4 6 3" xfId="11642" xr:uid="{9BBA20DF-503A-473D-A48E-849D33432735}"/>
    <cellStyle name="20% - Accent1 4 7" xfId="4511" xr:uid="{00000000-0005-0000-0000-00008D000000}"/>
    <cellStyle name="20% - Accent1 4 7 2" xfId="13793" xr:uid="{F3A0F13C-6704-4DC7-8F3C-174FF62E46A4}"/>
    <cellStyle name="20% - Accent1 4 8" xfId="9576" xr:uid="{71812609-D3BA-4DB1-B1B5-0D88E629B57E}"/>
    <cellStyle name="20% - Accent1 4 9" xfId="8743" xr:uid="{5A265F7E-E342-4686-B448-33808167F207}"/>
    <cellStyle name="20% - Accent1 5" xfId="570" xr:uid="{00000000-0005-0000-0000-00008E000000}"/>
    <cellStyle name="20% - Accent1 5 2" xfId="2841" xr:uid="{00000000-0005-0000-0000-00008F000000}"/>
    <cellStyle name="20% - Accent1 5 2 2" xfId="7063" xr:uid="{00000000-0005-0000-0000-000090000000}"/>
    <cellStyle name="20% - Accent1 5 2 2 2" xfId="16345" xr:uid="{6F5966CF-0324-4F34-9CF2-CBE35FFE614B}"/>
    <cellStyle name="20% - Accent1 5 2 3" xfId="12128" xr:uid="{51374801-F31D-465A-ACFD-4DD295FADFE2}"/>
    <cellStyle name="20% - Accent1 5 3" xfId="4918" xr:uid="{00000000-0005-0000-0000-000091000000}"/>
    <cellStyle name="20% - Accent1 5 3 2" xfId="14200" xr:uid="{87F0E711-4475-466D-A559-82A0EF511630}"/>
    <cellStyle name="20% - Accent1 5 4" xfId="9983" xr:uid="{E1770164-A56F-4120-8423-DF162C258E20}"/>
    <cellStyle name="20% - Accent1 5 5" xfId="9153" xr:uid="{9D6EFA2A-445C-4FEB-BDBA-7F6D89471392}"/>
    <cellStyle name="20% - Accent1 6" xfId="1023" xr:uid="{00000000-0005-0000-0000-000092000000}"/>
    <cellStyle name="20% - Accent1 6 2" xfId="3254" xr:uid="{00000000-0005-0000-0000-000093000000}"/>
    <cellStyle name="20% - Accent1 6 2 2" xfId="7476" xr:uid="{00000000-0005-0000-0000-000094000000}"/>
    <cellStyle name="20% - Accent1 6 2 2 2" xfId="16758" xr:uid="{6A678F36-2EAB-475C-B6D7-70FDCDB6D7F8}"/>
    <cellStyle name="20% - Accent1 6 2 3" xfId="12541" xr:uid="{2B72C9BC-7766-4AFA-A58A-9F0A7F668193}"/>
    <cellStyle name="20% - Accent1 6 3" xfId="5331" xr:uid="{00000000-0005-0000-0000-000095000000}"/>
    <cellStyle name="20% - Accent1 6 3 2" xfId="14613" xr:uid="{79DFBEB5-E818-45EE-8BB9-8D566683956F}"/>
    <cellStyle name="20% - Accent1 6 4" xfId="10396" xr:uid="{92F2CF57-7974-469E-982F-D7111466C42F}"/>
    <cellStyle name="20% - Accent1 7" xfId="1437" xr:uid="{00000000-0005-0000-0000-000096000000}"/>
    <cellStyle name="20% - Accent1 7 2" xfId="3667" xr:uid="{00000000-0005-0000-0000-000097000000}"/>
    <cellStyle name="20% - Accent1 7 2 2" xfId="7889" xr:uid="{00000000-0005-0000-0000-000098000000}"/>
    <cellStyle name="20% - Accent1 7 2 2 2" xfId="17171" xr:uid="{81C34EA6-8C24-45BC-942A-BADF75766A14}"/>
    <cellStyle name="20% - Accent1 7 2 3" xfId="12954" xr:uid="{56056E10-75C8-4A6C-9EA7-1B0E1F5F8E5F}"/>
    <cellStyle name="20% - Accent1 7 3" xfId="5744" xr:uid="{00000000-0005-0000-0000-000099000000}"/>
    <cellStyle name="20% - Accent1 7 3 2" xfId="15026" xr:uid="{1D414E5F-574F-461E-8780-0FB37BCB7FE5}"/>
    <cellStyle name="20% - Accent1 7 4" xfId="10809" xr:uid="{DA90479C-3489-4BE0-9FB6-4318272BEA12}"/>
    <cellStyle name="20% - Accent1 8" xfId="1851" xr:uid="{00000000-0005-0000-0000-00009A000000}"/>
    <cellStyle name="20% - Accent1 8 2" xfId="4080" xr:uid="{00000000-0005-0000-0000-00009B000000}"/>
    <cellStyle name="20% - Accent1 8 2 2" xfId="8302" xr:uid="{00000000-0005-0000-0000-00009C000000}"/>
    <cellStyle name="20% - Accent1 8 2 2 2" xfId="17584" xr:uid="{32F60762-C8C4-4680-93C3-A9938E9A4207}"/>
    <cellStyle name="20% - Accent1 8 2 3" xfId="13367" xr:uid="{4BE4DBDC-E46B-48B0-A756-13CA262FEC51}"/>
    <cellStyle name="20% - Accent1 8 3" xfId="6157" xr:uid="{00000000-0005-0000-0000-00009D000000}"/>
    <cellStyle name="20% - Accent1 8 3 2" xfId="15439" xr:uid="{22AB38BE-FD4E-434B-B99E-97C2DE2C9B08}"/>
    <cellStyle name="20% - Accent1 8 4" xfId="11222" xr:uid="{1948155C-79F5-42AA-8399-1640E29F3957}"/>
    <cellStyle name="20% - Accent1 9" xfId="2264" xr:uid="{00000000-0005-0000-0000-00009E000000}"/>
    <cellStyle name="20% - Accent1 9 2" xfId="6570" xr:uid="{00000000-0005-0000-0000-00009F000000}"/>
    <cellStyle name="20% - Accent1 9 2 2" xfId="15852" xr:uid="{E05B1EBA-A1B2-4E0D-BFD8-0E48BB85AA16}"/>
    <cellStyle name="20% - Accent1 9 3" xfId="11635" xr:uid="{60228F44-EB0C-4F34-8CC7-674F4AF7DDFA}"/>
    <cellStyle name="20% - Accent2" xfId="9" builtinId="34" customBuiltin="1"/>
    <cellStyle name="20% - Accent2 10" xfId="4512" xr:uid="{00000000-0005-0000-0000-0000A1000000}"/>
    <cellStyle name="20% - Accent2 10 2" xfId="13794" xr:uid="{C542C21C-92A3-4132-A41D-92BE323FAA6B}"/>
    <cellStyle name="20% - Accent2 11" xfId="9577" xr:uid="{C07DF918-39F2-4308-94B7-D682A313127E}"/>
    <cellStyle name="20% - Accent2 12" xfId="8744" xr:uid="{BE9FBB64-B004-47EE-ABAD-BC4E5A497C92}"/>
    <cellStyle name="20% - Accent2 2" xfId="10" xr:uid="{00000000-0005-0000-0000-0000A2000000}"/>
    <cellStyle name="20% - Accent2 2 10" xfId="9578" xr:uid="{6711EF21-C210-421F-B695-EA9A3C1B422E}"/>
    <cellStyle name="20% - Accent2 2 11" xfId="8745" xr:uid="{5AAB7C2A-9B50-42EA-9577-84ABB7189DA7}"/>
    <cellStyle name="20% - Accent2 2 2" xfId="11" xr:uid="{00000000-0005-0000-0000-0000A3000000}"/>
    <cellStyle name="20% - Accent2 2 2 10" xfId="8746" xr:uid="{DBBB0152-A278-477D-890A-A38A352E2BB7}"/>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356" xr:uid="{EBAFB169-9584-4CA0-996B-093B1692D2BA}"/>
    <cellStyle name="20% - Accent2 2 2 2 2 2 3" xfId="12139" xr:uid="{16FD333F-76BD-4A6E-9942-65EAC1C115DE}"/>
    <cellStyle name="20% - Accent2 2 2 2 2 3" xfId="4929" xr:uid="{00000000-0005-0000-0000-0000A8000000}"/>
    <cellStyle name="20% - Accent2 2 2 2 2 3 2" xfId="14211" xr:uid="{C9D4EE7E-DBEF-4A7C-AE6A-E1DDDA50067C}"/>
    <cellStyle name="20% - Accent2 2 2 2 2 4" xfId="9994" xr:uid="{F520B728-CD2E-4CE0-BAB1-D81C345A073A}"/>
    <cellStyle name="20% - Accent2 2 2 2 2 5" xfId="9164" xr:uid="{13573130-2207-4F5E-9544-B228ACBCCF5D}"/>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769" xr:uid="{990DEDD5-D3C7-4B68-9D38-8E4F8A759CBB}"/>
    <cellStyle name="20% - Accent2 2 2 2 3 2 3" xfId="12552" xr:uid="{4DC22D9F-55F1-4957-83E1-4C574959EA00}"/>
    <cellStyle name="20% - Accent2 2 2 2 3 3" xfId="5342" xr:uid="{00000000-0005-0000-0000-0000AC000000}"/>
    <cellStyle name="20% - Accent2 2 2 2 3 3 2" xfId="14624" xr:uid="{C3A18BAD-1DAD-47CD-B541-C28F2D8936D0}"/>
    <cellStyle name="20% - Accent2 2 2 2 3 4" xfId="10407" xr:uid="{A6CF7E6D-ECA1-43DE-84A4-EC24A1133A14}"/>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182" xr:uid="{7A8D6B92-39FB-4AB8-B75D-ED2E6E7E353B}"/>
    <cellStyle name="20% - Accent2 2 2 2 4 2 3" xfId="12965" xr:uid="{AD710847-F8E5-4205-A653-77D9C77627B9}"/>
    <cellStyle name="20% - Accent2 2 2 2 4 3" xfId="5755" xr:uid="{00000000-0005-0000-0000-0000B0000000}"/>
    <cellStyle name="20% - Accent2 2 2 2 4 3 2" xfId="15037" xr:uid="{C41B12E6-D1B2-468C-A3AE-BC7A18120905}"/>
    <cellStyle name="20% - Accent2 2 2 2 4 4" xfId="10820" xr:uid="{E86BD1DE-A342-4A5C-8DEA-A6AAFA0DA06A}"/>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595" xr:uid="{E0BEE581-A718-4173-AC3D-1E56985C250E}"/>
    <cellStyle name="20% - Accent2 2 2 2 5 2 3" xfId="13378" xr:uid="{34E4BD9A-5255-48CA-AE85-3CC607B68124}"/>
    <cellStyle name="20% - Accent2 2 2 2 5 3" xfId="6168" xr:uid="{00000000-0005-0000-0000-0000B4000000}"/>
    <cellStyle name="20% - Accent2 2 2 2 5 3 2" xfId="15450" xr:uid="{759391ED-0C54-4F88-A5FF-98981A8E121C}"/>
    <cellStyle name="20% - Accent2 2 2 2 5 4" xfId="11233" xr:uid="{75EA5D67-BA8C-4F7A-A224-3FF7C7F07451}"/>
    <cellStyle name="20% - Accent2 2 2 2 6" xfId="2275" xr:uid="{00000000-0005-0000-0000-0000B5000000}"/>
    <cellStyle name="20% - Accent2 2 2 2 6 2" xfId="6581" xr:uid="{00000000-0005-0000-0000-0000B6000000}"/>
    <cellStyle name="20% - Accent2 2 2 2 6 2 2" xfId="15863" xr:uid="{3D73328A-BA7D-4E06-BA64-D5F0C00F4C6B}"/>
    <cellStyle name="20% - Accent2 2 2 2 6 3" xfId="11646" xr:uid="{0066F331-8A2B-4EAB-9F80-606192F12399}"/>
    <cellStyle name="20% - Accent2 2 2 2 7" xfId="4515" xr:uid="{00000000-0005-0000-0000-0000B7000000}"/>
    <cellStyle name="20% - Accent2 2 2 2 7 2" xfId="13797" xr:uid="{5A6325FF-2176-4D4B-A678-C6F9B8E113E7}"/>
    <cellStyle name="20% - Accent2 2 2 2 8" xfId="9580" xr:uid="{4B8EC160-6A67-497B-B381-C3EEBBF7A687}"/>
    <cellStyle name="20% - Accent2 2 2 2 9" xfId="8747" xr:uid="{ECD494BD-6195-4798-AE8A-F2637CEDD19F}"/>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55" xr:uid="{C5B1B3D6-5122-4113-9AAC-8648903EE6EB}"/>
    <cellStyle name="20% - Accent2 2 2 3 2 3" xfId="12138" xr:uid="{4E7F2EF4-4947-4DD3-AAF5-F3C9A31D66F8}"/>
    <cellStyle name="20% - Accent2 2 2 3 3" xfId="4928" xr:uid="{00000000-0005-0000-0000-0000BB000000}"/>
    <cellStyle name="20% - Accent2 2 2 3 3 2" xfId="14210" xr:uid="{F87F57EE-904F-453D-8ADB-2CE849F0495B}"/>
    <cellStyle name="20% - Accent2 2 2 3 4" xfId="9993" xr:uid="{DCC891B7-CD75-4D09-AD3A-132D6C35A8E3}"/>
    <cellStyle name="20% - Accent2 2 2 3 5" xfId="9163" xr:uid="{9F5B6131-B83B-4198-84A6-61D351C639B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768" xr:uid="{7831C98C-58E6-46F7-9551-31E8D83F09DC}"/>
    <cellStyle name="20% - Accent2 2 2 4 2 3" xfId="12551" xr:uid="{0126A5F7-EDAE-4081-BAF0-BD9345FD3362}"/>
    <cellStyle name="20% - Accent2 2 2 4 3" xfId="5341" xr:uid="{00000000-0005-0000-0000-0000BF000000}"/>
    <cellStyle name="20% - Accent2 2 2 4 3 2" xfId="14623" xr:uid="{D8DABDE5-61EB-4C88-A31C-FC9342D8BC04}"/>
    <cellStyle name="20% - Accent2 2 2 4 4" xfId="10406" xr:uid="{C4C2CE95-F616-4878-9B4B-F98A8E1BE759}"/>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181" xr:uid="{CAB5DDBF-88E7-4AC1-89C7-B5BC1324074C}"/>
    <cellStyle name="20% - Accent2 2 2 5 2 3" xfId="12964" xr:uid="{18182155-F659-49BB-B0A1-991EC4C9B75F}"/>
    <cellStyle name="20% - Accent2 2 2 5 3" xfId="5754" xr:uid="{00000000-0005-0000-0000-0000C3000000}"/>
    <cellStyle name="20% - Accent2 2 2 5 3 2" xfId="15036" xr:uid="{DBAF1E77-3ACA-4A84-A4D6-9956266872F9}"/>
    <cellStyle name="20% - Accent2 2 2 5 4" xfId="10819" xr:uid="{34FAEF8C-5443-42E4-883F-0F7670064A1D}"/>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594" xr:uid="{378F647E-1D44-4B12-B25F-96E1F4CEB3FB}"/>
    <cellStyle name="20% - Accent2 2 2 6 2 3" xfId="13377" xr:uid="{8EF8920C-FBDA-4D57-A09B-D5CB51CC9FA4}"/>
    <cellStyle name="20% - Accent2 2 2 6 3" xfId="6167" xr:uid="{00000000-0005-0000-0000-0000C7000000}"/>
    <cellStyle name="20% - Accent2 2 2 6 3 2" xfId="15449" xr:uid="{AA48ABF7-56D2-4E18-A0DC-5E06B2CAF66C}"/>
    <cellStyle name="20% - Accent2 2 2 6 4" xfId="11232" xr:uid="{B56F4728-B844-429F-8007-40AF69EEA66E}"/>
    <cellStyle name="20% - Accent2 2 2 7" xfId="2274" xr:uid="{00000000-0005-0000-0000-0000C8000000}"/>
    <cellStyle name="20% - Accent2 2 2 7 2" xfId="6580" xr:uid="{00000000-0005-0000-0000-0000C9000000}"/>
    <cellStyle name="20% - Accent2 2 2 7 2 2" xfId="15862" xr:uid="{0AEECDD7-0C9C-4A86-AC76-E8B4B9F04B94}"/>
    <cellStyle name="20% - Accent2 2 2 7 3" xfId="11645" xr:uid="{0125C81B-4B79-4DEC-BD6E-36814B57819F}"/>
    <cellStyle name="20% - Accent2 2 2 8" xfId="4514" xr:uid="{00000000-0005-0000-0000-0000CA000000}"/>
    <cellStyle name="20% - Accent2 2 2 8 2" xfId="13796" xr:uid="{A3D6FAA1-4162-40ED-A210-6F3B5840D0D9}"/>
    <cellStyle name="20% - Accent2 2 2 9" xfId="9579" xr:uid="{8ECE5A6A-7337-4A07-9A62-611958BB427B}"/>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357" xr:uid="{A0E3556B-F360-45CE-82B9-74DF418B92B1}"/>
    <cellStyle name="20% - Accent2 2 3 2 2 3" xfId="12140" xr:uid="{5DB08382-6C85-45FB-9F65-23A4A89C944A}"/>
    <cellStyle name="20% - Accent2 2 3 2 3" xfId="4930" xr:uid="{00000000-0005-0000-0000-0000CF000000}"/>
    <cellStyle name="20% - Accent2 2 3 2 3 2" xfId="14212" xr:uid="{87177ACC-E37A-49AE-97C1-31FF0A28E736}"/>
    <cellStyle name="20% - Accent2 2 3 2 4" xfId="9995" xr:uid="{A974B15F-6FEA-4388-8DFB-1F9061A5585C}"/>
    <cellStyle name="20% - Accent2 2 3 2 5" xfId="9165" xr:uid="{DD65E9BD-5E35-449E-9B11-4F2D7D5C0D5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770" xr:uid="{6401EE0C-3BE4-4860-B752-EF2C60F8AE29}"/>
    <cellStyle name="20% - Accent2 2 3 3 2 3" xfId="12553" xr:uid="{09AB484A-FA40-4659-8FC8-651826B511CE}"/>
    <cellStyle name="20% - Accent2 2 3 3 3" xfId="5343" xr:uid="{00000000-0005-0000-0000-0000D3000000}"/>
    <cellStyle name="20% - Accent2 2 3 3 3 2" xfId="14625" xr:uid="{BF3BE467-2C38-468B-9A2F-AF5D45851A80}"/>
    <cellStyle name="20% - Accent2 2 3 3 4" xfId="10408" xr:uid="{03C4C564-6A29-4E25-A090-48529CB8221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183" xr:uid="{75FC6AAD-D4F0-4706-8AEE-B4C9819E3700}"/>
    <cellStyle name="20% - Accent2 2 3 4 2 3" xfId="12966" xr:uid="{10F4547C-44D8-489C-BBA3-C0B2A2A7428D}"/>
    <cellStyle name="20% - Accent2 2 3 4 3" xfId="5756" xr:uid="{00000000-0005-0000-0000-0000D7000000}"/>
    <cellStyle name="20% - Accent2 2 3 4 3 2" xfId="15038" xr:uid="{F5A3574C-B2C1-4179-A0C5-9A1F42DEDC87}"/>
    <cellStyle name="20% - Accent2 2 3 4 4" xfId="10821" xr:uid="{5B4F7364-A7E4-46A4-90CA-D0DDAD93258C}"/>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596" xr:uid="{F2B80346-B984-40E9-8D01-44559A08AE10}"/>
    <cellStyle name="20% - Accent2 2 3 5 2 3" xfId="13379" xr:uid="{A9C74351-62F2-4C0F-B917-BDA55773586F}"/>
    <cellStyle name="20% - Accent2 2 3 5 3" xfId="6169" xr:uid="{00000000-0005-0000-0000-0000DB000000}"/>
    <cellStyle name="20% - Accent2 2 3 5 3 2" xfId="15451" xr:uid="{586FB7E6-DB91-499E-A20B-788083F80E53}"/>
    <cellStyle name="20% - Accent2 2 3 5 4" xfId="11234" xr:uid="{8900B133-3DDF-4BE5-B64D-A21AAC1E6989}"/>
    <cellStyle name="20% - Accent2 2 3 6" xfId="2276" xr:uid="{00000000-0005-0000-0000-0000DC000000}"/>
    <cellStyle name="20% - Accent2 2 3 6 2" xfId="6582" xr:uid="{00000000-0005-0000-0000-0000DD000000}"/>
    <cellStyle name="20% - Accent2 2 3 6 2 2" xfId="15864" xr:uid="{5F652A0A-51B2-4FA1-9A68-DFD52DA282D1}"/>
    <cellStyle name="20% - Accent2 2 3 6 3" xfId="11647" xr:uid="{6976678D-81AF-4BAE-9686-E341090F5BF2}"/>
    <cellStyle name="20% - Accent2 2 3 7" xfId="4516" xr:uid="{00000000-0005-0000-0000-0000DE000000}"/>
    <cellStyle name="20% - Accent2 2 3 7 2" xfId="13798" xr:uid="{E0FBD2C9-0752-42CC-BF82-CC7ED76145DA}"/>
    <cellStyle name="20% - Accent2 2 3 8" xfId="9581" xr:uid="{C6F9684E-6953-4942-858A-B97A48AF445B}"/>
    <cellStyle name="20% - Accent2 2 3 9" xfId="8748" xr:uid="{0B67099A-B82F-4DD7-B3B3-D2EA45F9F6A7}"/>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54" xr:uid="{E1159A53-C25F-48B1-9FA5-5F4472D89D45}"/>
    <cellStyle name="20% - Accent2 2 4 2 3" xfId="12137" xr:uid="{94B13A4A-5DE3-4812-B191-226C99132A59}"/>
    <cellStyle name="20% - Accent2 2 4 3" xfId="4927" xr:uid="{00000000-0005-0000-0000-0000E2000000}"/>
    <cellStyle name="20% - Accent2 2 4 3 2" xfId="14209" xr:uid="{32C4AE1A-45EA-444A-89C9-B309BBA97545}"/>
    <cellStyle name="20% - Accent2 2 4 4" xfId="9992" xr:uid="{C4258DC4-B4F7-446A-9134-404039FD86AC}"/>
    <cellStyle name="20% - Accent2 2 4 5" xfId="9162" xr:uid="{721AC12D-195E-4CF7-9931-ABE52637415D}"/>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767" xr:uid="{0695DD28-7ABD-42C6-AFD2-F5BF7B80A254}"/>
    <cellStyle name="20% - Accent2 2 5 2 3" xfId="12550" xr:uid="{13CA5268-F82D-4AB3-9388-5F02E3B68F53}"/>
    <cellStyle name="20% - Accent2 2 5 3" xfId="5340" xr:uid="{00000000-0005-0000-0000-0000E6000000}"/>
    <cellStyle name="20% - Accent2 2 5 3 2" xfId="14622" xr:uid="{1B9264A2-EEFE-4906-908E-17FCF14E3F42}"/>
    <cellStyle name="20% - Accent2 2 5 4" xfId="10405" xr:uid="{260BA699-085B-4377-A72B-4278002308C3}"/>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180" xr:uid="{49DDEB6A-351D-4070-A0FF-F28F9BBE435D}"/>
    <cellStyle name="20% - Accent2 2 6 2 3" xfId="12963" xr:uid="{7573FF55-B072-4CCB-87C4-06DCD30E683A}"/>
    <cellStyle name="20% - Accent2 2 6 3" xfId="5753" xr:uid="{00000000-0005-0000-0000-0000EA000000}"/>
    <cellStyle name="20% - Accent2 2 6 3 2" xfId="15035" xr:uid="{4AFEC60D-FD47-4EBC-BE85-F653BCCC76D3}"/>
    <cellStyle name="20% - Accent2 2 6 4" xfId="10818" xr:uid="{F3E2EF31-F5B2-4AE5-B44A-6554186E76E9}"/>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593" xr:uid="{DA00B7AE-8322-44DD-9839-2DF65D1DD663}"/>
    <cellStyle name="20% - Accent2 2 7 2 3" xfId="13376" xr:uid="{77CFAB27-A400-402E-A41A-280EB32B37E2}"/>
    <cellStyle name="20% - Accent2 2 7 3" xfId="6166" xr:uid="{00000000-0005-0000-0000-0000EE000000}"/>
    <cellStyle name="20% - Accent2 2 7 3 2" xfId="15448" xr:uid="{45E5A660-2ACC-4949-AA3A-1AC16DEF9F94}"/>
    <cellStyle name="20% - Accent2 2 7 4" xfId="11231" xr:uid="{1C76065B-21F3-4934-B6C4-14B567888E44}"/>
    <cellStyle name="20% - Accent2 2 8" xfId="2273" xr:uid="{00000000-0005-0000-0000-0000EF000000}"/>
    <cellStyle name="20% - Accent2 2 8 2" xfId="6579" xr:uid="{00000000-0005-0000-0000-0000F0000000}"/>
    <cellStyle name="20% - Accent2 2 8 2 2" xfId="15861" xr:uid="{FB41145E-313E-42E6-8160-79F83251B95F}"/>
    <cellStyle name="20% - Accent2 2 8 3" xfId="11644" xr:uid="{3CD91547-F2F4-4633-ACB4-A3BEA8D38348}"/>
    <cellStyle name="20% - Accent2 2 9" xfId="4513" xr:uid="{00000000-0005-0000-0000-0000F1000000}"/>
    <cellStyle name="20% - Accent2 2 9 2" xfId="13795" xr:uid="{82294E07-3B9B-4B70-AD96-5A1EFBAAD01E}"/>
    <cellStyle name="20% - Accent2 3" xfId="14" xr:uid="{00000000-0005-0000-0000-0000F2000000}"/>
    <cellStyle name="20% - Accent2 3 10" xfId="8749" xr:uid="{B757E08F-F2DC-4AB9-8C77-8BA7DA5CA0B5}"/>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359" xr:uid="{8F068C86-04D6-42B7-A026-14560EF0143E}"/>
    <cellStyle name="20% - Accent2 3 2 2 2 3" xfId="12142" xr:uid="{45E76B01-8CEA-4CD4-80DC-36F975E9D71C}"/>
    <cellStyle name="20% - Accent2 3 2 2 3" xfId="4932" xr:uid="{00000000-0005-0000-0000-0000F7000000}"/>
    <cellStyle name="20% - Accent2 3 2 2 3 2" xfId="14214" xr:uid="{839786AC-82F2-4F8E-BA41-10FE7475D514}"/>
    <cellStyle name="20% - Accent2 3 2 2 4" xfId="9997" xr:uid="{8435A52E-3999-43AD-B833-653F3CF5CD9E}"/>
    <cellStyle name="20% - Accent2 3 2 2 5" xfId="9167" xr:uid="{8830E5F8-E53B-4469-9AC0-E9ED9E200E1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772" xr:uid="{B2FF0E65-D0BB-41ED-BB27-B8AFC6ABEF1A}"/>
    <cellStyle name="20% - Accent2 3 2 3 2 3" xfId="12555" xr:uid="{2E8C7076-8CE4-4983-A391-F5BD015FD77B}"/>
    <cellStyle name="20% - Accent2 3 2 3 3" xfId="5345" xr:uid="{00000000-0005-0000-0000-0000FB000000}"/>
    <cellStyle name="20% - Accent2 3 2 3 3 2" xfId="14627" xr:uid="{CDB0F764-3DB6-41DE-A34E-365117159FBA}"/>
    <cellStyle name="20% - Accent2 3 2 3 4" xfId="10410" xr:uid="{F19916F6-0319-4A9E-A681-EEA20DB818E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185" xr:uid="{E3CDD43E-364B-4CF8-BC73-087113DAF8C5}"/>
    <cellStyle name="20% - Accent2 3 2 4 2 3" xfId="12968" xr:uid="{EEEEAA03-0824-4313-BB32-DEA9343DA94E}"/>
    <cellStyle name="20% - Accent2 3 2 4 3" xfId="5758" xr:uid="{00000000-0005-0000-0000-0000FF000000}"/>
    <cellStyle name="20% - Accent2 3 2 4 3 2" xfId="15040" xr:uid="{A2F1EBD9-0180-4B38-B410-200D53B1BE15}"/>
    <cellStyle name="20% - Accent2 3 2 4 4" xfId="10823" xr:uid="{05E2ABD5-A78D-4BA2-81D0-A84AB934C4BE}"/>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598" xr:uid="{EC1D5C80-68A6-42E7-9416-741E5E7E41EE}"/>
    <cellStyle name="20% - Accent2 3 2 5 2 3" xfId="13381" xr:uid="{7F47844E-4C81-438F-A2BE-731E6758FE79}"/>
    <cellStyle name="20% - Accent2 3 2 5 3" xfId="6171" xr:uid="{00000000-0005-0000-0000-000003010000}"/>
    <cellStyle name="20% - Accent2 3 2 5 3 2" xfId="15453" xr:uid="{BB75D4E9-608E-4C17-860E-58382DABFD7D}"/>
    <cellStyle name="20% - Accent2 3 2 5 4" xfId="11236" xr:uid="{9B401752-DD8C-4D6F-9811-39E974010F40}"/>
    <cellStyle name="20% - Accent2 3 2 6" xfId="2278" xr:uid="{00000000-0005-0000-0000-000004010000}"/>
    <cellStyle name="20% - Accent2 3 2 6 2" xfId="6584" xr:uid="{00000000-0005-0000-0000-000005010000}"/>
    <cellStyle name="20% - Accent2 3 2 6 2 2" xfId="15866" xr:uid="{A21B7CE1-8AA2-4656-9F7F-05F0DC4CF456}"/>
    <cellStyle name="20% - Accent2 3 2 6 3" xfId="11649" xr:uid="{832E809C-344B-4F9C-8DC6-A6D90396101F}"/>
    <cellStyle name="20% - Accent2 3 2 7" xfId="4518" xr:uid="{00000000-0005-0000-0000-000006010000}"/>
    <cellStyle name="20% - Accent2 3 2 7 2" xfId="13800" xr:uid="{D30F4D91-2BE8-443F-96BD-E4B3780745E5}"/>
    <cellStyle name="20% - Accent2 3 2 8" xfId="9583" xr:uid="{4E4077FF-1592-44A3-BBE8-BA4F4ABAA10A}"/>
    <cellStyle name="20% - Accent2 3 2 9" xfId="8750" xr:uid="{3F268138-CB03-4A60-A7ED-082DA94C0AFD}"/>
    <cellStyle name="20% - Accent2 3 3" xfId="583" xr:uid="{00000000-0005-0000-0000-000007010000}"/>
    <cellStyle name="20% - Accent2 3 3 2" xfId="2854" xr:uid="{00000000-0005-0000-0000-000008010000}"/>
    <cellStyle name="20% - Accent2 3 3 2 2" xfId="7076" xr:uid="{00000000-0005-0000-0000-000009010000}"/>
    <cellStyle name="20% - Accent2 3 3 2 2 2" xfId="16358" xr:uid="{E9027A1B-88A6-41A3-8745-91A843A160AF}"/>
    <cellStyle name="20% - Accent2 3 3 2 3" xfId="12141" xr:uid="{F0794B86-08CD-41E1-A59D-16537A8CF699}"/>
    <cellStyle name="20% - Accent2 3 3 3" xfId="4931" xr:uid="{00000000-0005-0000-0000-00000A010000}"/>
    <cellStyle name="20% - Accent2 3 3 3 2" xfId="14213" xr:uid="{61A5F4C0-F80C-4E42-A226-6D621D6ED615}"/>
    <cellStyle name="20% - Accent2 3 3 4" xfId="9996" xr:uid="{0E76B383-D88F-4D7C-8D02-31EC21DEA9B9}"/>
    <cellStyle name="20% - Accent2 3 3 5" xfId="9166" xr:uid="{578AFAFC-485F-456F-B7C2-BC913F8D3EAC}"/>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771" xr:uid="{C7BEB3E1-CF2B-4FC7-A5E2-2CBF0DD3935A}"/>
    <cellStyle name="20% - Accent2 3 4 2 3" xfId="12554" xr:uid="{EBDE08A3-3D7C-4D86-A8D2-133626560CE6}"/>
    <cellStyle name="20% - Accent2 3 4 3" xfId="5344" xr:uid="{00000000-0005-0000-0000-00000E010000}"/>
    <cellStyle name="20% - Accent2 3 4 3 2" xfId="14626" xr:uid="{0D3B5B8B-60F8-4BA3-B6CC-6B24DA108591}"/>
    <cellStyle name="20% - Accent2 3 4 4" xfId="10409" xr:uid="{F51DA050-D0C4-4FE4-A6D9-CE201696996C}"/>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184" xr:uid="{FEB75615-C018-4B41-B422-C53239076EF7}"/>
    <cellStyle name="20% - Accent2 3 5 2 3" xfId="12967" xr:uid="{C41340B7-6057-4393-88EE-8DA530AEDCC8}"/>
    <cellStyle name="20% - Accent2 3 5 3" xfId="5757" xr:uid="{00000000-0005-0000-0000-000012010000}"/>
    <cellStyle name="20% - Accent2 3 5 3 2" xfId="15039" xr:uid="{0A1FEB09-4B7B-4B13-A1F4-24EE6E62E585}"/>
    <cellStyle name="20% - Accent2 3 5 4" xfId="10822" xr:uid="{811D27B7-1747-4D61-85F6-E4E11863ACAC}"/>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597" xr:uid="{915C3AAF-EB49-407A-A86B-E47D83E7187D}"/>
    <cellStyle name="20% - Accent2 3 6 2 3" xfId="13380" xr:uid="{793D719D-0F31-4099-A2CC-4BAC5F8BC441}"/>
    <cellStyle name="20% - Accent2 3 6 3" xfId="6170" xr:uid="{00000000-0005-0000-0000-000016010000}"/>
    <cellStyle name="20% - Accent2 3 6 3 2" xfId="15452" xr:uid="{6BDF9FA0-A24C-46D2-ABE9-BB441FFC2C18}"/>
    <cellStyle name="20% - Accent2 3 6 4" xfId="11235" xr:uid="{F1D6CFC8-9B8B-48E8-9182-336A3C73FD69}"/>
    <cellStyle name="20% - Accent2 3 7" xfId="2277" xr:uid="{00000000-0005-0000-0000-000017010000}"/>
    <cellStyle name="20% - Accent2 3 7 2" xfId="6583" xr:uid="{00000000-0005-0000-0000-000018010000}"/>
    <cellStyle name="20% - Accent2 3 7 2 2" xfId="15865" xr:uid="{351C9F13-0754-43AB-A3DF-9ADAD6D0EF4D}"/>
    <cellStyle name="20% - Accent2 3 7 3" xfId="11648" xr:uid="{613787F0-4E44-498F-8FBE-D48D7DB997C5}"/>
    <cellStyle name="20% - Accent2 3 8" xfId="4517" xr:uid="{00000000-0005-0000-0000-000019010000}"/>
    <cellStyle name="20% - Accent2 3 8 2" xfId="13799" xr:uid="{610BBD2A-E2E7-4261-B40E-B31BF012F955}"/>
    <cellStyle name="20% - Accent2 3 9" xfId="9582" xr:uid="{C0B033C1-55FB-468C-9E9F-85249F0B09E2}"/>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360" xr:uid="{46503B28-A036-4B63-A97F-537C6BBEE33A}"/>
    <cellStyle name="20% - Accent2 4 2 2 3" xfId="12143" xr:uid="{3D8B2D60-E0BE-4FBC-B0AE-6FE003717D29}"/>
    <cellStyle name="20% - Accent2 4 2 3" xfId="4933" xr:uid="{00000000-0005-0000-0000-00001E010000}"/>
    <cellStyle name="20% - Accent2 4 2 3 2" xfId="14215" xr:uid="{07212AA4-4CB8-4921-A3EE-6544E18AFEAF}"/>
    <cellStyle name="20% - Accent2 4 2 4" xfId="9998" xr:uid="{F7ACB7AD-0913-4A60-B84E-D2EC837ED534}"/>
    <cellStyle name="20% - Accent2 4 2 5" xfId="9168" xr:uid="{BAD9A842-DB8A-4C0E-A5D8-AFD3BCEA300B}"/>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773" xr:uid="{A28CDFBA-0995-4628-8041-424C55802B5F}"/>
    <cellStyle name="20% - Accent2 4 3 2 3" xfId="12556" xr:uid="{8EAE6115-0680-4CB0-B254-B2AC276527CF}"/>
    <cellStyle name="20% - Accent2 4 3 3" xfId="5346" xr:uid="{00000000-0005-0000-0000-000022010000}"/>
    <cellStyle name="20% - Accent2 4 3 3 2" xfId="14628" xr:uid="{FB555B81-7425-4DC5-B3B7-DBCD8FE2D5FF}"/>
    <cellStyle name="20% - Accent2 4 3 4" xfId="10411" xr:uid="{0D77A9CC-9847-44DA-9B9A-CFE16FC89B63}"/>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186" xr:uid="{1A36ED87-E1A9-4D29-B887-4B20F72A08D7}"/>
    <cellStyle name="20% - Accent2 4 4 2 3" xfId="12969" xr:uid="{3B757609-7DF7-4C3F-8248-6B73760747D4}"/>
    <cellStyle name="20% - Accent2 4 4 3" xfId="5759" xr:uid="{00000000-0005-0000-0000-000026010000}"/>
    <cellStyle name="20% - Accent2 4 4 3 2" xfId="15041" xr:uid="{B89F858C-BBC0-43E4-BDFD-CA1BC7C2046D}"/>
    <cellStyle name="20% - Accent2 4 4 4" xfId="10824" xr:uid="{0A743179-20D1-40A4-A94B-F0FBD1875A8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599" xr:uid="{6B57A0FA-3687-4BA9-B2C4-C2682926B60C}"/>
    <cellStyle name="20% - Accent2 4 5 2 3" xfId="13382" xr:uid="{D3C5DA40-FAEB-4E35-AB6E-BA2ADD6BA62D}"/>
    <cellStyle name="20% - Accent2 4 5 3" xfId="6172" xr:uid="{00000000-0005-0000-0000-00002A010000}"/>
    <cellStyle name="20% - Accent2 4 5 3 2" xfId="15454" xr:uid="{EC710E4A-604D-4A29-A057-1BB85C08C041}"/>
    <cellStyle name="20% - Accent2 4 5 4" xfId="11237" xr:uid="{8C87817F-1215-4B9D-82A3-889897D3D105}"/>
    <cellStyle name="20% - Accent2 4 6" xfId="2279" xr:uid="{00000000-0005-0000-0000-00002B010000}"/>
    <cellStyle name="20% - Accent2 4 6 2" xfId="6585" xr:uid="{00000000-0005-0000-0000-00002C010000}"/>
    <cellStyle name="20% - Accent2 4 6 2 2" xfId="15867" xr:uid="{3997E07D-6A2A-4AC8-BA83-FDEB623F46D9}"/>
    <cellStyle name="20% - Accent2 4 6 3" xfId="11650" xr:uid="{54F3E642-077B-4DC3-B392-E8B3C1C7268A}"/>
    <cellStyle name="20% - Accent2 4 7" xfId="4519" xr:uid="{00000000-0005-0000-0000-00002D010000}"/>
    <cellStyle name="20% - Accent2 4 7 2" xfId="13801" xr:uid="{C00A6DA3-E56B-41CD-9156-53E6D9BFD783}"/>
    <cellStyle name="20% - Accent2 4 8" xfId="9584" xr:uid="{DFC260E4-7D41-436B-A94E-08619C98F481}"/>
    <cellStyle name="20% - Accent2 4 9" xfId="8751" xr:uid="{778F5C07-55E4-4C39-8FE2-E5A0E301FE03}"/>
    <cellStyle name="20% - Accent2 5" xfId="578" xr:uid="{00000000-0005-0000-0000-00002E010000}"/>
    <cellStyle name="20% - Accent2 5 2" xfId="2849" xr:uid="{00000000-0005-0000-0000-00002F010000}"/>
    <cellStyle name="20% - Accent2 5 2 2" xfId="7071" xr:uid="{00000000-0005-0000-0000-000030010000}"/>
    <cellStyle name="20% - Accent2 5 2 2 2" xfId="16353" xr:uid="{43C9E4FF-24D2-43D9-A6E0-0E04D2A4DC46}"/>
    <cellStyle name="20% - Accent2 5 2 3" xfId="12136" xr:uid="{F3CEB4CA-77A5-47E0-8A67-CF53659AB012}"/>
    <cellStyle name="20% - Accent2 5 3" xfId="4926" xr:uid="{00000000-0005-0000-0000-000031010000}"/>
    <cellStyle name="20% - Accent2 5 3 2" xfId="14208" xr:uid="{69533F56-7758-41B1-A96E-72C93C1F4650}"/>
    <cellStyle name="20% - Accent2 5 4" xfId="9991" xr:uid="{AB9CEFED-30B7-4D98-9D28-F160B0A03D2F}"/>
    <cellStyle name="20% - Accent2 5 5" xfId="9161" xr:uid="{DDBF720C-F1AC-4EE6-8D6F-0D201148E95E}"/>
    <cellStyle name="20% - Accent2 6" xfId="1031" xr:uid="{00000000-0005-0000-0000-000032010000}"/>
    <cellStyle name="20% - Accent2 6 2" xfId="3262" xr:uid="{00000000-0005-0000-0000-000033010000}"/>
    <cellStyle name="20% - Accent2 6 2 2" xfId="7484" xr:uid="{00000000-0005-0000-0000-000034010000}"/>
    <cellStyle name="20% - Accent2 6 2 2 2" xfId="16766" xr:uid="{61940BB2-F241-4452-BCEE-CA920B9E7459}"/>
    <cellStyle name="20% - Accent2 6 2 3" xfId="12549" xr:uid="{1928CA0B-20D1-4CB7-ADFB-BD71A52FD328}"/>
    <cellStyle name="20% - Accent2 6 3" xfId="5339" xr:uid="{00000000-0005-0000-0000-000035010000}"/>
    <cellStyle name="20% - Accent2 6 3 2" xfId="14621" xr:uid="{2F37F6ED-FF6C-4621-A5B5-324E32956E23}"/>
    <cellStyle name="20% - Accent2 6 4" xfId="10404" xr:uid="{1DAD7808-B824-45B0-A76C-FDDB947E5567}"/>
    <cellStyle name="20% - Accent2 7" xfId="1445" xr:uid="{00000000-0005-0000-0000-000036010000}"/>
    <cellStyle name="20% - Accent2 7 2" xfId="3675" xr:uid="{00000000-0005-0000-0000-000037010000}"/>
    <cellStyle name="20% - Accent2 7 2 2" xfId="7897" xr:uid="{00000000-0005-0000-0000-000038010000}"/>
    <cellStyle name="20% - Accent2 7 2 2 2" xfId="17179" xr:uid="{321C82BC-5814-47F6-BAA3-BBF441A9BC1B}"/>
    <cellStyle name="20% - Accent2 7 2 3" xfId="12962" xr:uid="{6A794346-F49E-4F26-B6A1-3C474E2E0342}"/>
    <cellStyle name="20% - Accent2 7 3" xfId="5752" xr:uid="{00000000-0005-0000-0000-000039010000}"/>
    <cellStyle name="20% - Accent2 7 3 2" xfId="15034" xr:uid="{251EF80A-B96B-471B-81FB-03B1A49AB1C0}"/>
    <cellStyle name="20% - Accent2 7 4" xfId="10817" xr:uid="{B52DF9B0-2680-4C51-8C44-74F6883F8826}"/>
    <cellStyle name="20% - Accent2 8" xfId="1859" xr:uid="{00000000-0005-0000-0000-00003A010000}"/>
    <cellStyle name="20% - Accent2 8 2" xfId="4088" xr:uid="{00000000-0005-0000-0000-00003B010000}"/>
    <cellStyle name="20% - Accent2 8 2 2" xfId="8310" xr:uid="{00000000-0005-0000-0000-00003C010000}"/>
    <cellStyle name="20% - Accent2 8 2 2 2" xfId="17592" xr:uid="{DC0752A3-FF43-4CC7-A22E-6D09D0663491}"/>
    <cellStyle name="20% - Accent2 8 2 3" xfId="13375" xr:uid="{88196728-7566-46FB-AB6E-2D4ACCAF944A}"/>
    <cellStyle name="20% - Accent2 8 3" xfId="6165" xr:uid="{00000000-0005-0000-0000-00003D010000}"/>
    <cellStyle name="20% - Accent2 8 3 2" xfId="15447" xr:uid="{0527D608-D838-48F8-B5B2-916D1E3BF3FB}"/>
    <cellStyle name="20% - Accent2 8 4" xfId="11230" xr:uid="{C0F19B38-2621-41CA-A8F8-36145A25CF7B}"/>
    <cellStyle name="20% - Accent2 9" xfId="2272" xr:uid="{00000000-0005-0000-0000-00003E010000}"/>
    <cellStyle name="20% - Accent2 9 2" xfId="6578" xr:uid="{00000000-0005-0000-0000-00003F010000}"/>
    <cellStyle name="20% - Accent2 9 2 2" xfId="15860" xr:uid="{6BEEF8D2-EA93-4F4C-87CA-779D13DC4428}"/>
    <cellStyle name="20% - Accent2 9 3" xfId="11643" xr:uid="{5A943218-7C6D-4DAE-AE2C-99D4C2EA8A0D}"/>
    <cellStyle name="20% - Accent3" xfId="17" builtinId="38" customBuiltin="1"/>
    <cellStyle name="20% - Accent3 10" xfId="4520" xr:uid="{00000000-0005-0000-0000-000041010000}"/>
    <cellStyle name="20% - Accent3 10 2" xfId="13802" xr:uid="{636A768F-1311-481F-B5C8-E8102EB4D0BF}"/>
    <cellStyle name="20% - Accent3 11" xfId="9585" xr:uid="{A5051A78-F91C-486A-8CE9-AC02519D3BB7}"/>
    <cellStyle name="20% - Accent3 12" xfId="8752" xr:uid="{350DBAD1-ABEB-4D36-96CF-00191A631CCC}"/>
    <cellStyle name="20% - Accent3 2" xfId="18" xr:uid="{00000000-0005-0000-0000-000042010000}"/>
    <cellStyle name="20% - Accent3 2 10" xfId="9586" xr:uid="{2F6F3EE2-440C-4069-8316-848798544428}"/>
    <cellStyle name="20% - Accent3 2 11" xfId="8753" xr:uid="{CD239B63-5F10-414B-B541-297DFE3C19E0}"/>
    <cellStyle name="20% - Accent3 2 2" xfId="19" xr:uid="{00000000-0005-0000-0000-000043010000}"/>
    <cellStyle name="20% - Accent3 2 2 10" xfId="8754" xr:uid="{98B8426E-1A80-43B1-A1AA-DB4896153904}"/>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364" xr:uid="{B31F1571-2760-44D2-8D8A-2110CA3A5C99}"/>
    <cellStyle name="20% - Accent3 2 2 2 2 2 3" xfId="12147" xr:uid="{34B5B575-32E5-40D9-9860-22FFD531E160}"/>
    <cellStyle name="20% - Accent3 2 2 2 2 3" xfId="4937" xr:uid="{00000000-0005-0000-0000-000048010000}"/>
    <cellStyle name="20% - Accent3 2 2 2 2 3 2" xfId="14219" xr:uid="{A1CBFD49-7C9F-4CA4-B37C-015B1E015BB1}"/>
    <cellStyle name="20% - Accent3 2 2 2 2 4" xfId="10002" xr:uid="{F5D226FE-F812-4DBF-BB10-D22C12CFDB2B}"/>
    <cellStyle name="20% - Accent3 2 2 2 2 5" xfId="9172" xr:uid="{BD6BE921-328F-4483-8871-E71746398114}"/>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777" xr:uid="{DB047CC5-E6A6-4FB0-AA74-B8F129D567E6}"/>
    <cellStyle name="20% - Accent3 2 2 2 3 2 3" xfId="12560" xr:uid="{8DBBA20B-4A79-43BD-8FF2-80F860D9414A}"/>
    <cellStyle name="20% - Accent3 2 2 2 3 3" xfId="5350" xr:uid="{00000000-0005-0000-0000-00004C010000}"/>
    <cellStyle name="20% - Accent3 2 2 2 3 3 2" xfId="14632" xr:uid="{D1869358-F8B2-4914-A305-340F8E33FD34}"/>
    <cellStyle name="20% - Accent3 2 2 2 3 4" xfId="10415" xr:uid="{AACE3178-BE12-4988-BBB7-A90820651F9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190" xr:uid="{511B7CFB-AA61-4D2D-89D9-EECBE22B8357}"/>
    <cellStyle name="20% - Accent3 2 2 2 4 2 3" xfId="12973" xr:uid="{7E41C48A-7F6C-4B3D-A4A8-A152E1718D5E}"/>
    <cellStyle name="20% - Accent3 2 2 2 4 3" xfId="5763" xr:uid="{00000000-0005-0000-0000-000050010000}"/>
    <cellStyle name="20% - Accent3 2 2 2 4 3 2" xfId="15045" xr:uid="{B4FEB4FD-F4B4-40A8-A55B-B3A4ECA1ED97}"/>
    <cellStyle name="20% - Accent3 2 2 2 4 4" xfId="10828" xr:uid="{D322EAF6-FD4C-44AA-B65D-225720759C3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03" xr:uid="{5D84FA16-7D29-469A-9E13-BF431EB43F37}"/>
    <cellStyle name="20% - Accent3 2 2 2 5 2 3" xfId="13386" xr:uid="{83140403-D273-469C-9EFD-9976929AA6FA}"/>
    <cellStyle name="20% - Accent3 2 2 2 5 3" xfId="6176" xr:uid="{00000000-0005-0000-0000-000054010000}"/>
    <cellStyle name="20% - Accent3 2 2 2 5 3 2" xfId="15458" xr:uid="{CE8951D4-B66D-4FDE-ADFC-049C67B8EC1C}"/>
    <cellStyle name="20% - Accent3 2 2 2 5 4" xfId="11241" xr:uid="{4281A575-3FCA-4AD0-8F70-F7528727F4F1}"/>
    <cellStyle name="20% - Accent3 2 2 2 6" xfId="2283" xr:uid="{00000000-0005-0000-0000-000055010000}"/>
    <cellStyle name="20% - Accent3 2 2 2 6 2" xfId="6589" xr:uid="{00000000-0005-0000-0000-000056010000}"/>
    <cellStyle name="20% - Accent3 2 2 2 6 2 2" xfId="15871" xr:uid="{B44B6C6B-0810-46FE-AF23-DF7682281811}"/>
    <cellStyle name="20% - Accent3 2 2 2 6 3" xfId="11654" xr:uid="{BE31A743-89C8-4E6A-B2DD-B4C3ED39FCE8}"/>
    <cellStyle name="20% - Accent3 2 2 2 7" xfId="4523" xr:uid="{00000000-0005-0000-0000-000057010000}"/>
    <cellStyle name="20% - Accent3 2 2 2 7 2" xfId="13805" xr:uid="{04B2F10C-D664-41A7-B095-20F98514D7F9}"/>
    <cellStyle name="20% - Accent3 2 2 2 8" xfId="9588" xr:uid="{9A97E4E0-05EA-4912-9699-397EF1ECE733}"/>
    <cellStyle name="20% - Accent3 2 2 2 9" xfId="8755" xr:uid="{56D9B37D-0D16-4B0E-BEC2-D0916BD2BA59}"/>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363" xr:uid="{A22B7544-82F4-4A2F-962C-BB4070B6A568}"/>
    <cellStyle name="20% - Accent3 2 2 3 2 3" xfId="12146" xr:uid="{F8B7B55B-1271-4A7F-AE4E-73D8C7ACDB60}"/>
    <cellStyle name="20% - Accent3 2 2 3 3" xfId="4936" xr:uid="{00000000-0005-0000-0000-00005B010000}"/>
    <cellStyle name="20% - Accent3 2 2 3 3 2" xfId="14218" xr:uid="{7320FBFB-25C8-49C4-B488-B4B6870949B1}"/>
    <cellStyle name="20% - Accent3 2 2 3 4" xfId="10001" xr:uid="{5E147FDD-4D6E-4B85-B6FF-2A18D0BC801A}"/>
    <cellStyle name="20% - Accent3 2 2 3 5" xfId="9171" xr:uid="{6667E28F-344F-44E1-82C3-1A138C9EFE2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776" xr:uid="{70F2A73E-2796-4983-8A14-941C3D03DDF6}"/>
    <cellStyle name="20% - Accent3 2 2 4 2 3" xfId="12559" xr:uid="{594FC32A-E726-4A43-B48C-9DE0828E3656}"/>
    <cellStyle name="20% - Accent3 2 2 4 3" xfId="5349" xr:uid="{00000000-0005-0000-0000-00005F010000}"/>
    <cellStyle name="20% - Accent3 2 2 4 3 2" xfId="14631" xr:uid="{7F97DF6F-389B-441A-BE3A-BC7745F0A87C}"/>
    <cellStyle name="20% - Accent3 2 2 4 4" xfId="10414" xr:uid="{9FB3519F-7E69-4C5C-8C8B-04C96AD276A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189" xr:uid="{CF607EC9-3654-4E00-A989-E1BC853C1B4B}"/>
    <cellStyle name="20% - Accent3 2 2 5 2 3" xfId="12972" xr:uid="{A6DD85DA-0788-4483-8F26-78CA47596AFD}"/>
    <cellStyle name="20% - Accent3 2 2 5 3" xfId="5762" xr:uid="{00000000-0005-0000-0000-000063010000}"/>
    <cellStyle name="20% - Accent3 2 2 5 3 2" xfId="15044" xr:uid="{1F56342E-EFA1-4E6C-9E35-ACB4A385C285}"/>
    <cellStyle name="20% - Accent3 2 2 5 4" xfId="10827" xr:uid="{4A8E8818-9863-4376-B924-D79FF7A5E64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02" xr:uid="{1B46C74E-ECAC-4AA9-92FB-31C36DCE5E67}"/>
    <cellStyle name="20% - Accent3 2 2 6 2 3" xfId="13385" xr:uid="{2CDDA69C-1202-46F4-9CA7-6D0D948B64A8}"/>
    <cellStyle name="20% - Accent3 2 2 6 3" xfId="6175" xr:uid="{00000000-0005-0000-0000-000067010000}"/>
    <cellStyle name="20% - Accent3 2 2 6 3 2" xfId="15457" xr:uid="{F1CA0FF9-1205-43D8-B187-5DCA8D8BD6C5}"/>
    <cellStyle name="20% - Accent3 2 2 6 4" xfId="11240" xr:uid="{8BA29D92-21AD-4EB9-A748-632148D8F1EC}"/>
    <cellStyle name="20% - Accent3 2 2 7" xfId="2282" xr:uid="{00000000-0005-0000-0000-000068010000}"/>
    <cellStyle name="20% - Accent3 2 2 7 2" xfId="6588" xr:uid="{00000000-0005-0000-0000-000069010000}"/>
    <cellStyle name="20% - Accent3 2 2 7 2 2" xfId="15870" xr:uid="{ED05EF8F-F29A-4F43-9D64-4CA3E28E23AF}"/>
    <cellStyle name="20% - Accent3 2 2 7 3" xfId="11653" xr:uid="{E128C0F2-8590-469B-AFD7-6D17C2E3E491}"/>
    <cellStyle name="20% - Accent3 2 2 8" xfId="4522" xr:uid="{00000000-0005-0000-0000-00006A010000}"/>
    <cellStyle name="20% - Accent3 2 2 8 2" xfId="13804" xr:uid="{B5558319-EE9F-45C6-9B50-EF936BED6661}"/>
    <cellStyle name="20% - Accent3 2 2 9" xfId="9587" xr:uid="{E4E6C3FA-1347-4B15-9452-15A4141ADD43}"/>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365" xr:uid="{6BB06E3F-7C97-4C7F-AA64-3564246F790C}"/>
    <cellStyle name="20% - Accent3 2 3 2 2 3" xfId="12148" xr:uid="{A6AE93AE-1F63-4F42-AA6F-AEBF5220573D}"/>
    <cellStyle name="20% - Accent3 2 3 2 3" xfId="4938" xr:uid="{00000000-0005-0000-0000-00006F010000}"/>
    <cellStyle name="20% - Accent3 2 3 2 3 2" xfId="14220" xr:uid="{F10342A6-6974-4CDE-8DF6-EBC263676323}"/>
    <cellStyle name="20% - Accent3 2 3 2 4" xfId="10003" xr:uid="{D1BF6D25-CF05-4EA6-8210-7CCEE57D59F8}"/>
    <cellStyle name="20% - Accent3 2 3 2 5" xfId="9173" xr:uid="{E7644EF5-B399-4D6B-A5EC-FFA76179A6E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778" xr:uid="{C3C34F2A-2B36-417D-9AA3-FA63381A1BB6}"/>
    <cellStyle name="20% - Accent3 2 3 3 2 3" xfId="12561" xr:uid="{53DD72B9-AAA9-4138-B810-030C16CCECC7}"/>
    <cellStyle name="20% - Accent3 2 3 3 3" xfId="5351" xr:uid="{00000000-0005-0000-0000-000073010000}"/>
    <cellStyle name="20% - Accent3 2 3 3 3 2" xfId="14633" xr:uid="{DBD65599-4C01-485C-A190-FCEE2ACCF79C}"/>
    <cellStyle name="20% - Accent3 2 3 3 4" xfId="10416" xr:uid="{B360B9F3-1C8A-4787-BBED-14B1C007E69F}"/>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191" xr:uid="{3AAA1D9A-08B9-4E37-AF88-C16846E29608}"/>
    <cellStyle name="20% - Accent3 2 3 4 2 3" xfId="12974" xr:uid="{5ED9CF5F-77DD-4F19-9D70-64D35DA2CB31}"/>
    <cellStyle name="20% - Accent3 2 3 4 3" xfId="5764" xr:uid="{00000000-0005-0000-0000-000077010000}"/>
    <cellStyle name="20% - Accent3 2 3 4 3 2" xfId="15046" xr:uid="{839EFBF1-1A2F-4FFC-AACF-C102D7649712}"/>
    <cellStyle name="20% - Accent3 2 3 4 4" xfId="10829" xr:uid="{93BA8C43-F576-48BA-9156-4205C0E9D6CA}"/>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04" xr:uid="{DBDA6647-7F49-42AD-BE0C-FAC66703A085}"/>
    <cellStyle name="20% - Accent3 2 3 5 2 3" xfId="13387" xr:uid="{CEE8085F-B4CF-4043-B643-2C34B39182BF}"/>
    <cellStyle name="20% - Accent3 2 3 5 3" xfId="6177" xr:uid="{00000000-0005-0000-0000-00007B010000}"/>
    <cellStyle name="20% - Accent3 2 3 5 3 2" xfId="15459" xr:uid="{BAB3ED77-F9C2-4FC3-ABF6-2268DC720DFB}"/>
    <cellStyle name="20% - Accent3 2 3 5 4" xfId="11242" xr:uid="{897FAC04-2B90-4828-BB20-750AD6A35CD6}"/>
    <cellStyle name="20% - Accent3 2 3 6" xfId="2284" xr:uid="{00000000-0005-0000-0000-00007C010000}"/>
    <cellStyle name="20% - Accent3 2 3 6 2" xfId="6590" xr:uid="{00000000-0005-0000-0000-00007D010000}"/>
    <cellStyle name="20% - Accent3 2 3 6 2 2" xfId="15872" xr:uid="{6E06983B-D326-40A0-812A-C253137FE953}"/>
    <cellStyle name="20% - Accent3 2 3 6 3" xfId="11655" xr:uid="{5B2F0CCC-47FA-4E10-AF69-EF0CFB33668E}"/>
    <cellStyle name="20% - Accent3 2 3 7" xfId="4524" xr:uid="{00000000-0005-0000-0000-00007E010000}"/>
    <cellStyle name="20% - Accent3 2 3 7 2" xfId="13806" xr:uid="{891164AD-33A6-44C2-880A-89FA877D8952}"/>
    <cellStyle name="20% - Accent3 2 3 8" xfId="9589" xr:uid="{CAC13576-1412-4B67-BFDC-CBC88DD8E3E2}"/>
    <cellStyle name="20% - Accent3 2 3 9" xfId="8756" xr:uid="{880DC742-C660-4404-B1E8-92609417A9CF}"/>
    <cellStyle name="20% - Accent3 2 4" xfId="587" xr:uid="{00000000-0005-0000-0000-00007F010000}"/>
    <cellStyle name="20% - Accent3 2 4 2" xfId="2858" xr:uid="{00000000-0005-0000-0000-000080010000}"/>
    <cellStyle name="20% - Accent3 2 4 2 2" xfId="7080" xr:uid="{00000000-0005-0000-0000-000081010000}"/>
    <cellStyle name="20% - Accent3 2 4 2 2 2" xfId="16362" xr:uid="{34429F47-4D6B-42BA-946E-B9F900CBC0F0}"/>
    <cellStyle name="20% - Accent3 2 4 2 3" xfId="12145" xr:uid="{0498BDED-9F24-465A-9552-99B21BFE162F}"/>
    <cellStyle name="20% - Accent3 2 4 3" xfId="4935" xr:uid="{00000000-0005-0000-0000-000082010000}"/>
    <cellStyle name="20% - Accent3 2 4 3 2" xfId="14217" xr:uid="{7A5F41AA-D96F-4B56-939E-0C2F50D854B6}"/>
    <cellStyle name="20% - Accent3 2 4 4" xfId="10000" xr:uid="{5F48B754-4DB6-42BB-B1FB-F0C83F4D1843}"/>
    <cellStyle name="20% - Accent3 2 4 5" xfId="9170" xr:uid="{15DCB65E-514C-4142-B115-28ED3DC65D4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775" xr:uid="{B92F301A-4A5E-44EC-BADD-11BF1D638569}"/>
    <cellStyle name="20% - Accent3 2 5 2 3" xfId="12558" xr:uid="{EF17150C-268B-4630-8860-49C576CDB190}"/>
    <cellStyle name="20% - Accent3 2 5 3" xfId="5348" xr:uid="{00000000-0005-0000-0000-000086010000}"/>
    <cellStyle name="20% - Accent3 2 5 3 2" xfId="14630" xr:uid="{E18CD33D-F40B-4991-B757-A4E9F2E680AE}"/>
    <cellStyle name="20% - Accent3 2 5 4" xfId="10413" xr:uid="{A4011964-4023-4880-B034-85CA2E234F01}"/>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188" xr:uid="{F2B58183-B4D8-455E-912F-4946A97A32FC}"/>
    <cellStyle name="20% - Accent3 2 6 2 3" xfId="12971" xr:uid="{9A74B275-2EA5-4A4B-AC3B-6BA19A9352D5}"/>
    <cellStyle name="20% - Accent3 2 6 3" xfId="5761" xr:uid="{00000000-0005-0000-0000-00008A010000}"/>
    <cellStyle name="20% - Accent3 2 6 3 2" xfId="15043" xr:uid="{B93383CF-F94F-4ED8-84A6-CA670E073B93}"/>
    <cellStyle name="20% - Accent3 2 6 4" xfId="10826" xr:uid="{CBC46E63-9215-497C-915A-47974629E14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01" xr:uid="{6571CAB7-491D-41F9-BDAC-24CEE1FAE5D8}"/>
    <cellStyle name="20% - Accent3 2 7 2 3" xfId="13384" xr:uid="{FAA6D759-0900-409F-B679-12A0F19CBD07}"/>
    <cellStyle name="20% - Accent3 2 7 3" xfId="6174" xr:uid="{00000000-0005-0000-0000-00008E010000}"/>
    <cellStyle name="20% - Accent3 2 7 3 2" xfId="15456" xr:uid="{4C7E2BA7-3A8C-498A-AA82-D2CD437AAAB3}"/>
    <cellStyle name="20% - Accent3 2 7 4" xfId="11239" xr:uid="{1771565B-8E18-4A23-AEBC-FED50BCA910E}"/>
    <cellStyle name="20% - Accent3 2 8" xfId="2281" xr:uid="{00000000-0005-0000-0000-00008F010000}"/>
    <cellStyle name="20% - Accent3 2 8 2" xfId="6587" xr:uid="{00000000-0005-0000-0000-000090010000}"/>
    <cellStyle name="20% - Accent3 2 8 2 2" xfId="15869" xr:uid="{1E975B80-6FEB-4DC2-8EE2-6208F4462D38}"/>
    <cellStyle name="20% - Accent3 2 8 3" xfId="11652" xr:uid="{EAF132E9-696F-4ED8-90B5-F7530A641066}"/>
    <cellStyle name="20% - Accent3 2 9" xfId="4521" xr:uid="{00000000-0005-0000-0000-000091010000}"/>
    <cellStyle name="20% - Accent3 2 9 2" xfId="13803" xr:uid="{F38E12CB-AA53-4A2B-B5B9-EA7105A92560}"/>
    <cellStyle name="20% - Accent3 3" xfId="22" xr:uid="{00000000-0005-0000-0000-000092010000}"/>
    <cellStyle name="20% - Accent3 3 10" xfId="8757" xr:uid="{71CB7DB2-2184-4E55-83E7-32436538182C}"/>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367" xr:uid="{E2EBB171-63AF-4C16-8755-0ADDB9297753}"/>
    <cellStyle name="20% - Accent3 3 2 2 2 3" xfId="12150" xr:uid="{21A17087-156B-4F09-9A22-475C5FFBFEA8}"/>
    <cellStyle name="20% - Accent3 3 2 2 3" xfId="4940" xr:uid="{00000000-0005-0000-0000-000097010000}"/>
    <cellStyle name="20% - Accent3 3 2 2 3 2" xfId="14222" xr:uid="{75B714BE-03A4-464F-89B4-666759EF22C5}"/>
    <cellStyle name="20% - Accent3 3 2 2 4" xfId="10005" xr:uid="{7D5E7E5F-94B4-417B-B2CC-6E0195106244}"/>
    <cellStyle name="20% - Accent3 3 2 2 5" xfId="9175" xr:uid="{0454B826-B8B3-4A23-ABB6-6A5A7BC9DD5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780" xr:uid="{C1E8F163-3A7D-413D-992C-0EA85D99362A}"/>
    <cellStyle name="20% - Accent3 3 2 3 2 3" xfId="12563" xr:uid="{F72A5C3D-1606-445D-8906-72A6B62B34DE}"/>
    <cellStyle name="20% - Accent3 3 2 3 3" xfId="5353" xr:uid="{00000000-0005-0000-0000-00009B010000}"/>
    <cellStyle name="20% - Accent3 3 2 3 3 2" xfId="14635" xr:uid="{79DD0A8A-1054-43EA-8278-4C2A7AAF4411}"/>
    <cellStyle name="20% - Accent3 3 2 3 4" xfId="10418" xr:uid="{00F26E3F-C6CD-4942-A0F2-9744F302EF4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193" xr:uid="{3883D042-2DAE-440A-8AC9-9CD42FFA2277}"/>
    <cellStyle name="20% - Accent3 3 2 4 2 3" xfId="12976" xr:uid="{C3BA21A4-5CD0-4812-BBB1-0F1F1089C15B}"/>
    <cellStyle name="20% - Accent3 3 2 4 3" xfId="5766" xr:uid="{00000000-0005-0000-0000-00009F010000}"/>
    <cellStyle name="20% - Accent3 3 2 4 3 2" xfId="15048" xr:uid="{0F91312C-73EF-42E5-BBCF-726D1382B174}"/>
    <cellStyle name="20% - Accent3 3 2 4 4" xfId="10831" xr:uid="{99BCC3CB-0E1B-453B-9638-88D3F1A0E9CB}"/>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06" xr:uid="{B0C42D51-5E1C-42B8-BE0B-3F7660EA75F3}"/>
    <cellStyle name="20% - Accent3 3 2 5 2 3" xfId="13389" xr:uid="{5F9055DC-D193-4CB2-B42D-33CB8BFC878D}"/>
    <cellStyle name="20% - Accent3 3 2 5 3" xfId="6179" xr:uid="{00000000-0005-0000-0000-0000A3010000}"/>
    <cellStyle name="20% - Accent3 3 2 5 3 2" xfId="15461" xr:uid="{5D2D5A9B-8336-49D4-A077-11F5AA248E06}"/>
    <cellStyle name="20% - Accent3 3 2 5 4" xfId="11244" xr:uid="{E31FEAE9-32A1-4B33-9E35-804DDB8C11FE}"/>
    <cellStyle name="20% - Accent3 3 2 6" xfId="2286" xr:uid="{00000000-0005-0000-0000-0000A4010000}"/>
    <cellStyle name="20% - Accent3 3 2 6 2" xfId="6592" xr:uid="{00000000-0005-0000-0000-0000A5010000}"/>
    <cellStyle name="20% - Accent3 3 2 6 2 2" xfId="15874" xr:uid="{37749613-E1FE-443D-BA64-FFFDC5B6D90E}"/>
    <cellStyle name="20% - Accent3 3 2 6 3" xfId="11657" xr:uid="{A3D06274-2D7F-4454-A644-E6FDD4D8FD1D}"/>
    <cellStyle name="20% - Accent3 3 2 7" xfId="4526" xr:uid="{00000000-0005-0000-0000-0000A6010000}"/>
    <cellStyle name="20% - Accent3 3 2 7 2" xfId="13808" xr:uid="{DD2CDFC5-5239-4A74-8AF7-F357A6EFACE3}"/>
    <cellStyle name="20% - Accent3 3 2 8" xfId="9591" xr:uid="{35B0A2CD-BCA3-4C66-AB7D-A9E72E097AAB}"/>
    <cellStyle name="20% - Accent3 3 2 9" xfId="8758" xr:uid="{32163BE5-44B0-4CA3-A5BF-D76D657215ED}"/>
    <cellStyle name="20% - Accent3 3 3" xfId="591" xr:uid="{00000000-0005-0000-0000-0000A7010000}"/>
    <cellStyle name="20% - Accent3 3 3 2" xfId="2862" xr:uid="{00000000-0005-0000-0000-0000A8010000}"/>
    <cellStyle name="20% - Accent3 3 3 2 2" xfId="7084" xr:uid="{00000000-0005-0000-0000-0000A9010000}"/>
    <cellStyle name="20% - Accent3 3 3 2 2 2" xfId="16366" xr:uid="{147A4055-E563-4804-80EB-FB3AAE448DE5}"/>
    <cellStyle name="20% - Accent3 3 3 2 3" xfId="12149" xr:uid="{54CB4DB2-0864-40D7-8A12-AF318B962CDC}"/>
    <cellStyle name="20% - Accent3 3 3 3" xfId="4939" xr:uid="{00000000-0005-0000-0000-0000AA010000}"/>
    <cellStyle name="20% - Accent3 3 3 3 2" xfId="14221" xr:uid="{D48E3A4C-2709-4465-8462-7191B6A0588F}"/>
    <cellStyle name="20% - Accent3 3 3 4" xfId="10004" xr:uid="{F27AA3FD-53BB-47E9-A5B8-EAD86F2763EF}"/>
    <cellStyle name="20% - Accent3 3 3 5" xfId="9174" xr:uid="{1464B031-F189-4B21-B77F-63D5EEE888A6}"/>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779" xr:uid="{6F7EDEF7-04A9-4CE0-AB0F-42772D4DE5DE}"/>
    <cellStyle name="20% - Accent3 3 4 2 3" xfId="12562" xr:uid="{51BD11B6-4BDD-4509-AC53-25C4206390F0}"/>
    <cellStyle name="20% - Accent3 3 4 3" xfId="5352" xr:uid="{00000000-0005-0000-0000-0000AE010000}"/>
    <cellStyle name="20% - Accent3 3 4 3 2" xfId="14634" xr:uid="{FE90801A-EB61-4FEF-85A5-B8D0000B3B0D}"/>
    <cellStyle name="20% - Accent3 3 4 4" xfId="10417" xr:uid="{1CB2CBA2-8B0C-4FF1-B478-5387CFC85621}"/>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192" xr:uid="{23E36B1A-2448-43B2-892F-4F13DF6BCA07}"/>
    <cellStyle name="20% - Accent3 3 5 2 3" xfId="12975" xr:uid="{48C897C7-BED9-4952-AE53-31880747B485}"/>
    <cellStyle name="20% - Accent3 3 5 3" xfId="5765" xr:uid="{00000000-0005-0000-0000-0000B2010000}"/>
    <cellStyle name="20% - Accent3 3 5 3 2" xfId="15047" xr:uid="{0C04C59C-AC0F-407C-B4AF-31FD4F9C0321}"/>
    <cellStyle name="20% - Accent3 3 5 4" xfId="10830" xr:uid="{8A5C65E0-323C-4C28-8FE2-5DD76400C96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05" xr:uid="{76D75599-9DDE-4C4E-891B-0B17703A452B}"/>
    <cellStyle name="20% - Accent3 3 6 2 3" xfId="13388" xr:uid="{C2BD8778-259B-468E-8154-87C7116510E9}"/>
    <cellStyle name="20% - Accent3 3 6 3" xfId="6178" xr:uid="{00000000-0005-0000-0000-0000B6010000}"/>
    <cellStyle name="20% - Accent3 3 6 3 2" xfId="15460" xr:uid="{5BE32515-D1FD-4D30-9F18-48769720E66B}"/>
    <cellStyle name="20% - Accent3 3 6 4" xfId="11243" xr:uid="{7536073C-E30D-404D-B5FF-77DC0763C02F}"/>
    <cellStyle name="20% - Accent3 3 7" xfId="2285" xr:uid="{00000000-0005-0000-0000-0000B7010000}"/>
    <cellStyle name="20% - Accent3 3 7 2" xfId="6591" xr:uid="{00000000-0005-0000-0000-0000B8010000}"/>
    <cellStyle name="20% - Accent3 3 7 2 2" xfId="15873" xr:uid="{5B149A57-9729-4010-8334-98A5BD6A91A6}"/>
    <cellStyle name="20% - Accent3 3 7 3" xfId="11656" xr:uid="{20C37B16-6513-4712-B2F0-96C56809F315}"/>
    <cellStyle name="20% - Accent3 3 8" xfId="4525" xr:uid="{00000000-0005-0000-0000-0000B9010000}"/>
    <cellStyle name="20% - Accent3 3 8 2" xfId="13807" xr:uid="{058C5E3F-3893-4EEA-80D4-9AB5A11B8AA9}"/>
    <cellStyle name="20% - Accent3 3 9" xfId="9590" xr:uid="{375AE98F-AE82-49DB-9E58-B94F0CFE88CD}"/>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368" xr:uid="{D53D26A3-03EA-492A-876F-4D7B7A3C45AB}"/>
    <cellStyle name="20% - Accent3 4 2 2 3" xfId="12151" xr:uid="{DEF56A3C-3696-4462-81E1-D38F8FF3F0D3}"/>
    <cellStyle name="20% - Accent3 4 2 3" xfId="4941" xr:uid="{00000000-0005-0000-0000-0000BE010000}"/>
    <cellStyle name="20% - Accent3 4 2 3 2" xfId="14223" xr:uid="{F45B6792-BFF7-47EF-A32D-9268ADBAEC5C}"/>
    <cellStyle name="20% - Accent3 4 2 4" xfId="10006" xr:uid="{78760CD1-91E1-47CD-B5C9-F47E4084F6E0}"/>
    <cellStyle name="20% - Accent3 4 2 5" xfId="9176" xr:uid="{A1479C62-A17B-4931-98F9-0C87521717F3}"/>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781" xr:uid="{8A8936B8-E178-449B-949F-A2261D4752A6}"/>
    <cellStyle name="20% - Accent3 4 3 2 3" xfId="12564" xr:uid="{1FCA68C4-9427-40E4-AB3E-00D1B266529E}"/>
    <cellStyle name="20% - Accent3 4 3 3" xfId="5354" xr:uid="{00000000-0005-0000-0000-0000C2010000}"/>
    <cellStyle name="20% - Accent3 4 3 3 2" xfId="14636" xr:uid="{34C556E7-AEE9-4299-BE6C-A8FA8DBDBBAC}"/>
    <cellStyle name="20% - Accent3 4 3 4" xfId="10419" xr:uid="{D196B476-469D-4618-89E6-8BE4AD6468C1}"/>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194" xr:uid="{47AADECD-2629-4B24-A253-A41A948E56C5}"/>
    <cellStyle name="20% - Accent3 4 4 2 3" xfId="12977" xr:uid="{95EAD090-7C28-4527-88AF-BE211523DB0F}"/>
    <cellStyle name="20% - Accent3 4 4 3" xfId="5767" xr:uid="{00000000-0005-0000-0000-0000C6010000}"/>
    <cellStyle name="20% - Accent3 4 4 3 2" xfId="15049" xr:uid="{53901C29-D336-4E9D-933F-2871C3F9B339}"/>
    <cellStyle name="20% - Accent3 4 4 4" xfId="10832" xr:uid="{521AA263-023D-4734-9737-1FAC0FE26817}"/>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07" xr:uid="{2FA66B1D-5BDB-460A-8A37-38C9C5626B74}"/>
    <cellStyle name="20% - Accent3 4 5 2 3" xfId="13390" xr:uid="{5AE2E384-A798-424B-9764-F13611AE81EF}"/>
    <cellStyle name="20% - Accent3 4 5 3" xfId="6180" xr:uid="{00000000-0005-0000-0000-0000CA010000}"/>
    <cellStyle name="20% - Accent3 4 5 3 2" xfId="15462" xr:uid="{34B1C6AB-E160-4071-967A-B819BE132425}"/>
    <cellStyle name="20% - Accent3 4 5 4" xfId="11245" xr:uid="{2A1FCB76-D66D-4654-9E66-91D01489ECB3}"/>
    <cellStyle name="20% - Accent3 4 6" xfId="2287" xr:uid="{00000000-0005-0000-0000-0000CB010000}"/>
    <cellStyle name="20% - Accent3 4 6 2" xfId="6593" xr:uid="{00000000-0005-0000-0000-0000CC010000}"/>
    <cellStyle name="20% - Accent3 4 6 2 2" xfId="15875" xr:uid="{3C6014BD-34D3-422D-A4E8-93B6D378BE5C}"/>
    <cellStyle name="20% - Accent3 4 6 3" xfId="11658" xr:uid="{E3678BB1-E033-469E-A6B4-20B0D097766D}"/>
    <cellStyle name="20% - Accent3 4 7" xfId="4527" xr:uid="{00000000-0005-0000-0000-0000CD010000}"/>
    <cellStyle name="20% - Accent3 4 7 2" xfId="13809" xr:uid="{87530D3D-1DA7-48EF-BEC8-84F64AA0246C}"/>
    <cellStyle name="20% - Accent3 4 8" xfId="9592" xr:uid="{96D63B30-C007-4896-9828-80B242995428}"/>
    <cellStyle name="20% - Accent3 4 9" xfId="8759" xr:uid="{264687D1-4726-4A04-ABAE-229F5CA9FE39}"/>
    <cellStyle name="20% - Accent3 5" xfId="586" xr:uid="{00000000-0005-0000-0000-0000CE010000}"/>
    <cellStyle name="20% - Accent3 5 2" xfId="2857" xr:uid="{00000000-0005-0000-0000-0000CF010000}"/>
    <cellStyle name="20% - Accent3 5 2 2" xfId="7079" xr:uid="{00000000-0005-0000-0000-0000D0010000}"/>
    <cellStyle name="20% - Accent3 5 2 2 2" xfId="16361" xr:uid="{44520816-A444-4C40-9AE2-85C313D58885}"/>
    <cellStyle name="20% - Accent3 5 2 3" xfId="12144" xr:uid="{9DCC4377-A23B-4714-BACA-E55DA43A310C}"/>
    <cellStyle name="20% - Accent3 5 3" xfId="4934" xr:uid="{00000000-0005-0000-0000-0000D1010000}"/>
    <cellStyle name="20% - Accent3 5 3 2" xfId="14216" xr:uid="{D6625884-B768-4006-8BE4-C87D45E70D72}"/>
    <cellStyle name="20% - Accent3 5 4" xfId="9999" xr:uid="{141785AE-EA32-45EE-ABF0-E9E67E98AD85}"/>
    <cellStyle name="20% - Accent3 5 5" xfId="9169" xr:uid="{9B82C4B4-43A8-4400-912C-23F02D49543C}"/>
    <cellStyle name="20% - Accent3 6" xfId="1039" xr:uid="{00000000-0005-0000-0000-0000D2010000}"/>
    <cellStyle name="20% - Accent3 6 2" xfId="3270" xr:uid="{00000000-0005-0000-0000-0000D3010000}"/>
    <cellStyle name="20% - Accent3 6 2 2" xfId="7492" xr:uid="{00000000-0005-0000-0000-0000D4010000}"/>
    <cellStyle name="20% - Accent3 6 2 2 2" xfId="16774" xr:uid="{C02F325C-63A6-4544-BBA2-D946B82D553C}"/>
    <cellStyle name="20% - Accent3 6 2 3" xfId="12557" xr:uid="{FFC7CA41-6721-41F2-B2FB-4008568C8AB5}"/>
    <cellStyle name="20% - Accent3 6 3" xfId="5347" xr:uid="{00000000-0005-0000-0000-0000D5010000}"/>
    <cellStyle name="20% - Accent3 6 3 2" xfId="14629" xr:uid="{EECD28B0-D1C5-401A-801B-7D2E80AEB5F5}"/>
    <cellStyle name="20% - Accent3 6 4" xfId="10412" xr:uid="{85EE74F9-FA42-4355-B73F-BAACED8FB7E0}"/>
    <cellStyle name="20% - Accent3 7" xfId="1453" xr:uid="{00000000-0005-0000-0000-0000D6010000}"/>
    <cellStyle name="20% - Accent3 7 2" xfId="3683" xr:uid="{00000000-0005-0000-0000-0000D7010000}"/>
    <cellStyle name="20% - Accent3 7 2 2" xfId="7905" xr:uid="{00000000-0005-0000-0000-0000D8010000}"/>
    <cellStyle name="20% - Accent3 7 2 2 2" xfId="17187" xr:uid="{8B074980-E657-47F7-8FCB-EC595B0B5231}"/>
    <cellStyle name="20% - Accent3 7 2 3" xfId="12970" xr:uid="{D11E9F49-8B84-45CB-9311-C69D06AC9DDF}"/>
    <cellStyle name="20% - Accent3 7 3" xfId="5760" xr:uid="{00000000-0005-0000-0000-0000D9010000}"/>
    <cellStyle name="20% - Accent3 7 3 2" xfId="15042" xr:uid="{E7D75286-B465-4027-82E2-703A8A94B45C}"/>
    <cellStyle name="20% - Accent3 7 4" xfId="10825" xr:uid="{F33AB68C-B048-4020-A2AE-3244BE1D41EE}"/>
    <cellStyle name="20% - Accent3 8" xfId="1867" xr:uid="{00000000-0005-0000-0000-0000DA010000}"/>
    <cellStyle name="20% - Accent3 8 2" xfId="4096" xr:uid="{00000000-0005-0000-0000-0000DB010000}"/>
    <cellStyle name="20% - Accent3 8 2 2" xfId="8318" xr:uid="{00000000-0005-0000-0000-0000DC010000}"/>
    <cellStyle name="20% - Accent3 8 2 2 2" xfId="17600" xr:uid="{A5F43986-1EDE-4C0E-A2BF-CA796BB49A64}"/>
    <cellStyle name="20% - Accent3 8 2 3" xfId="13383" xr:uid="{A0B7CDA1-2612-445F-8D48-6F91DD72B13E}"/>
    <cellStyle name="20% - Accent3 8 3" xfId="6173" xr:uid="{00000000-0005-0000-0000-0000DD010000}"/>
    <cellStyle name="20% - Accent3 8 3 2" xfId="15455" xr:uid="{2A3DE980-3941-4E83-A09F-1A72304A0919}"/>
    <cellStyle name="20% - Accent3 8 4" xfId="11238" xr:uid="{B09ABAE6-3BB1-4B9D-AFC2-F051732F606A}"/>
    <cellStyle name="20% - Accent3 9" xfId="2280" xr:uid="{00000000-0005-0000-0000-0000DE010000}"/>
    <cellStyle name="20% - Accent3 9 2" xfId="6586" xr:uid="{00000000-0005-0000-0000-0000DF010000}"/>
    <cellStyle name="20% - Accent3 9 2 2" xfId="15868" xr:uid="{777F54A0-2527-4E61-9027-018663C5A1A5}"/>
    <cellStyle name="20% - Accent3 9 3" xfId="11651" xr:uid="{3E3A70D4-0BF7-4DAE-9427-16C1A44227A4}"/>
    <cellStyle name="20% - Accent4" xfId="25" builtinId="42" customBuiltin="1"/>
    <cellStyle name="20% - Accent4 10" xfId="4528" xr:uid="{00000000-0005-0000-0000-0000E1010000}"/>
    <cellStyle name="20% - Accent4 10 2" xfId="13810" xr:uid="{38A1DF97-E11C-442B-8B79-0E1F3D1DA8AE}"/>
    <cellStyle name="20% - Accent4 11" xfId="9593" xr:uid="{36BD4D46-52A7-4AE4-83F4-C9928F3EF8F0}"/>
    <cellStyle name="20% - Accent4 12" xfId="8760" xr:uid="{56D01969-B969-40B3-89D8-8CC835EFC09B}"/>
    <cellStyle name="20% - Accent4 2" xfId="26" xr:uid="{00000000-0005-0000-0000-0000E2010000}"/>
    <cellStyle name="20% - Accent4 2 10" xfId="9594" xr:uid="{C7C0ECC6-42F9-431C-A32E-402A8ADA2738}"/>
    <cellStyle name="20% - Accent4 2 11" xfId="8761" xr:uid="{DC933CB6-AD50-4C13-AD5C-F7914450FFEE}"/>
    <cellStyle name="20% - Accent4 2 2" xfId="27" xr:uid="{00000000-0005-0000-0000-0000E3010000}"/>
    <cellStyle name="20% - Accent4 2 2 10" xfId="8762" xr:uid="{44A23892-5573-4EE3-900B-19A60F3AD35D}"/>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372" xr:uid="{F19EAF87-7F2C-4CBD-89A1-DF93542DF7A5}"/>
    <cellStyle name="20% - Accent4 2 2 2 2 2 3" xfId="12155" xr:uid="{C78EBCC1-5032-4D1C-A11F-2B059814B172}"/>
    <cellStyle name="20% - Accent4 2 2 2 2 3" xfId="4945" xr:uid="{00000000-0005-0000-0000-0000E8010000}"/>
    <cellStyle name="20% - Accent4 2 2 2 2 3 2" xfId="14227" xr:uid="{E94B5E16-E6FD-4403-B23B-B41E4EEB6AE0}"/>
    <cellStyle name="20% - Accent4 2 2 2 2 4" xfId="10010" xr:uid="{280CFCF8-5AF6-4BD9-8B61-FB0A04BCC7CC}"/>
    <cellStyle name="20% - Accent4 2 2 2 2 5" xfId="9180" xr:uid="{15E45AF5-0C7C-4AE9-85D5-8DEB8BE98E8C}"/>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785" xr:uid="{7FB100DA-BFBC-4C67-ACDF-56BAD2E424C5}"/>
    <cellStyle name="20% - Accent4 2 2 2 3 2 3" xfId="12568" xr:uid="{B06157E6-15D0-4C55-9248-72BE6CE48E33}"/>
    <cellStyle name="20% - Accent4 2 2 2 3 3" xfId="5358" xr:uid="{00000000-0005-0000-0000-0000EC010000}"/>
    <cellStyle name="20% - Accent4 2 2 2 3 3 2" xfId="14640" xr:uid="{F65529DE-43B4-4954-AAA8-4DB905A93643}"/>
    <cellStyle name="20% - Accent4 2 2 2 3 4" xfId="10423" xr:uid="{8516B246-7DBB-49D2-8733-86CD09D98C26}"/>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198" xr:uid="{EB7B5F8D-3E47-44A1-ABBD-0CC7F25DC4B0}"/>
    <cellStyle name="20% - Accent4 2 2 2 4 2 3" xfId="12981" xr:uid="{588CD654-8840-4F2E-A53F-95529CE8021F}"/>
    <cellStyle name="20% - Accent4 2 2 2 4 3" xfId="5771" xr:uid="{00000000-0005-0000-0000-0000F0010000}"/>
    <cellStyle name="20% - Accent4 2 2 2 4 3 2" xfId="15053" xr:uid="{0EEF4246-396D-4CFB-9C87-9F78205EC371}"/>
    <cellStyle name="20% - Accent4 2 2 2 4 4" xfId="10836" xr:uid="{99DCF5F7-EF1A-43D5-AAA0-0D9E03739B01}"/>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11" xr:uid="{999FA32F-023B-400F-802F-66BB0020DA5F}"/>
    <cellStyle name="20% - Accent4 2 2 2 5 2 3" xfId="13394" xr:uid="{9D5108EB-27AA-457A-93AF-00BDD691B9FA}"/>
    <cellStyle name="20% - Accent4 2 2 2 5 3" xfId="6184" xr:uid="{00000000-0005-0000-0000-0000F4010000}"/>
    <cellStyle name="20% - Accent4 2 2 2 5 3 2" xfId="15466" xr:uid="{BC46CD28-EE41-4C89-B8D5-841021D9FCF8}"/>
    <cellStyle name="20% - Accent4 2 2 2 5 4" xfId="11249" xr:uid="{11C20AD0-C52D-403E-9C7D-9259CADD67BF}"/>
    <cellStyle name="20% - Accent4 2 2 2 6" xfId="2291" xr:uid="{00000000-0005-0000-0000-0000F5010000}"/>
    <cellStyle name="20% - Accent4 2 2 2 6 2" xfId="6597" xr:uid="{00000000-0005-0000-0000-0000F6010000}"/>
    <cellStyle name="20% - Accent4 2 2 2 6 2 2" xfId="15879" xr:uid="{444FA7CA-739E-46AC-8BEB-B3E5893C2BB7}"/>
    <cellStyle name="20% - Accent4 2 2 2 6 3" xfId="11662" xr:uid="{C3A9AE21-5A13-471F-AB70-395BDC06E9A1}"/>
    <cellStyle name="20% - Accent4 2 2 2 7" xfId="4531" xr:uid="{00000000-0005-0000-0000-0000F7010000}"/>
    <cellStyle name="20% - Accent4 2 2 2 7 2" xfId="13813" xr:uid="{8F60C24C-AE34-4F71-9023-90FBBE8860EA}"/>
    <cellStyle name="20% - Accent4 2 2 2 8" xfId="9596" xr:uid="{17D00478-F352-4F88-B297-3EE4DF6B84A1}"/>
    <cellStyle name="20% - Accent4 2 2 2 9" xfId="8763" xr:uid="{9775633B-D94A-4EDA-AD71-4D7F41D86C5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371" xr:uid="{1A88165B-5E4A-4B80-A2CC-E855EAB67A4A}"/>
    <cellStyle name="20% - Accent4 2 2 3 2 3" xfId="12154" xr:uid="{D9842EF6-3A34-4D7A-BF00-6C97115F06B8}"/>
    <cellStyle name="20% - Accent4 2 2 3 3" xfId="4944" xr:uid="{00000000-0005-0000-0000-0000FB010000}"/>
    <cellStyle name="20% - Accent4 2 2 3 3 2" xfId="14226" xr:uid="{6877A3FE-32F0-4794-B7E4-FC07C95DF922}"/>
    <cellStyle name="20% - Accent4 2 2 3 4" xfId="10009" xr:uid="{71B08570-5234-4B08-AC34-01E884EB52BB}"/>
    <cellStyle name="20% - Accent4 2 2 3 5" xfId="9179" xr:uid="{85FD2CFC-694C-4BE1-8009-59BF84F9D701}"/>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784" xr:uid="{84FAC1FB-D483-43DA-9082-C1A89FA76CBA}"/>
    <cellStyle name="20% - Accent4 2 2 4 2 3" xfId="12567" xr:uid="{6C9577BD-6E2A-4980-AE7D-9AADF7630905}"/>
    <cellStyle name="20% - Accent4 2 2 4 3" xfId="5357" xr:uid="{00000000-0005-0000-0000-0000FF010000}"/>
    <cellStyle name="20% - Accent4 2 2 4 3 2" xfId="14639" xr:uid="{2A340C21-8D22-409D-952B-7EC717A7C6B6}"/>
    <cellStyle name="20% - Accent4 2 2 4 4" xfId="10422" xr:uid="{ECFF3AB2-B19A-41D7-9966-6DB6F0F9E3AC}"/>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197" xr:uid="{BBEBD0C7-9327-4ED8-BD51-AF9ED5BED510}"/>
    <cellStyle name="20% - Accent4 2 2 5 2 3" xfId="12980" xr:uid="{5EA9893C-6CF6-4B21-A7B9-B6453B8FAE87}"/>
    <cellStyle name="20% - Accent4 2 2 5 3" xfId="5770" xr:uid="{00000000-0005-0000-0000-000003020000}"/>
    <cellStyle name="20% - Accent4 2 2 5 3 2" xfId="15052" xr:uid="{88AE9D5E-5246-4583-9913-5FE494992E56}"/>
    <cellStyle name="20% - Accent4 2 2 5 4" xfId="10835" xr:uid="{18BB6918-9267-46FF-BB4A-7B6FF74324E7}"/>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10" xr:uid="{AA53F02A-AF30-429F-83F0-76AF2B35E00F}"/>
    <cellStyle name="20% - Accent4 2 2 6 2 3" xfId="13393" xr:uid="{D1AA9C49-1028-4123-AF4A-5E2A7E0B11E1}"/>
    <cellStyle name="20% - Accent4 2 2 6 3" xfId="6183" xr:uid="{00000000-0005-0000-0000-000007020000}"/>
    <cellStyle name="20% - Accent4 2 2 6 3 2" xfId="15465" xr:uid="{49D824DA-FA91-40B3-86C0-9C59BD357ADD}"/>
    <cellStyle name="20% - Accent4 2 2 6 4" xfId="11248" xr:uid="{ABB9D253-FF94-4142-A960-BDE98D4946E3}"/>
    <cellStyle name="20% - Accent4 2 2 7" xfId="2290" xr:uid="{00000000-0005-0000-0000-000008020000}"/>
    <cellStyle name="20% - Accent4 2 2 7 2" xfId="6596" xr:uid="{00000000-0005-0000-0000-000009020000}"/>
    <cellStyle name="20% - Accent4 2 2 7 2 2" xfId="15878" xr:uid="{E2179A16-4038-47DB-8676-1FF34F6D355D}"/>
    <cellStyle name="20% - Accent4 2 2 7 3" xfId="11661" xr:uid="{5E4252A0-41BB-4DDD-B92B-8741514DC558}"/>
    <cellStyle name="20% - Accent4 2 2 8" xfId="4530" xr:uid="{00000000-0005-0000-0000-00000A020000}"/>
    <cellStyle name="20% - Accent4 2 2 8 2" xfId="13812" xr:uid="{DFC62ADF-15CF-4702-8EDA-B86E4EBD15E2}"/>
    <cellStyle name="20% - Accent4 2 2 9" xfId="9595" xr:uid="{10F94A6B-F458-4CA3-A2F2-9EC4A6C103FF}"/>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373" xr:uid="{F91B4508-3474-4049-B0FE-5400D0F9A229}"/>
    <cellStyle name="20% - Accent4 2 3 2 2 3" xfId="12156" xr:uid="{9CCDEFC3-1E48-477C-9DEB-9A3860D8A110}"/>
    <cellStyle name="20% - Accent4 2 3 2 3" xfId="4946" xr:uid="{00000000-0005-0000-0000-00000F020000}"/>
    <cellStyle name="20% - Accent4 2 3 2 3 2" xfId="14228" xr:uid="{F2670DC1-E054-4F6A-ABD6-7213AC7B52C5}"/>
    <cellStyle name="20% - Accent4 2 3 2 4" xfId="10011" xr:uid="{FA4A90A7-5E45-4988-A62A-C5E0AFCEFF74}"/>
    <cellStyle name="20% - Accent4 2 3 2 5" xfId="9181" xr:uid="{D4CC8648-E897-4532-B5C8-CBBAB491564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786" xr:uid="{B8B97781-DCFE-4B7F-8B43-D4CB537FCB5C}"/>
    <cellStyle name="20% - Accent4 2 3 3 2 3" xfId="12569" xr:uid="{9F4B8758-016A-4A38-8C0F-620A2C377B44}"/>
    <cellStyle name="20% - Accent4 2 3 3 3" xfId="5359" xr:uid="{00000000-0005-0000-0000-000013020000}"/>
    <cellStyle name="20% - Accent4 2 3 3 3 2" xfId="14641" xr:uid="{6A43C34E-5710-4E85-8D0F-23341FF46C6B}"/>
    <cellStyle name="20% - Accent4 2 3 3 4" xfId="10424" xr:uid="{9CC5DFD6-BFD0-4D71-B6F9-24965D913C8F}"/>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199" xr:uid="{E7C706CD-1D89-4C53-9707-C6B9429BE3AB}"/>
    <cellStyle name="20% - Accent4 2 3 4 2 3" xfId="12982" xr:uid="{3A6C4347-BCBF-44E6-A689-B2CE8A30AA3B}"/>
    <cellStyle name="20% - Accent4 2 3 4 3" xfId="5772" xr:uid="{00000000-0005-0000-0000-000017020000}"/>
    <cellStyle name="20% - Accent4 2 3 4 3 2" xfId="15054" xr:uid="{E06E2D77-31C6-44EF-B32B-FF8565F41916}"/>
    <cellStyle name="20% - Accent4 2 3 4 4" xfId="10837" xr:uid="{D29E10E9-8BF2-4F1E-B58E-C7E92E516EB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12" xr:uid="{CA6A5AB4-859F-453A-A8A2-BAAD1993E91F}"/>
    <cellStyle name="20% - Accent4 2 3 5 2 3" xfId="13395" xr:uid="{58FFAAD6-CA85-483F-8CF0-E186F76D97AB}"/>
    <cellStyle name="20% - Accent4 2 3 5 3" xfId="6185" xr:uid="{00000000-0005-0000-0000-00001B020000}"/>
    <cellStyle name="20% - Accent4 2 3 5 3 2" xfId="15467" xr:uid="{08BAA280-D8D5-4846-AA9B-AD3B2CE8EBF3}"/>
    <cellStyle name="20% - Accent4 2 3 5 4" xfId="11250" xr:uid="{CB99184E-451A-4F85-875E-26730927A67F}"/>
    <cellStyle name="20% - Accent4 2 3 6" xfId="2292" xr:uid="{00000000-0005-0000-0000-00001C020000}"/>
    <cellStyle name="20% - Accent4 2 3 6 2" xfId="6598" xr:uid="{00000000-0005-0000-0000-00001D020000}"/>
    <cellStyle name="20% - Accent4 2 3 6 2 2" xfId="15880" xr:uid="{03FD5C17-EFCD-4B27-9A98-41BE20B5C0B8}"/>
    <cellStyle name="20% - Accent4 2 3 6 3" xfId="11663" xr:uid="{A8C2F556-7A52-455D-991A-E69E54A2FAEB}"/>
    <cellStyle name="20% - Accent4 2 3 7" xfId="4532" xr:uid="{00000000-0005-0000-0000-00001E020000}"/>
    <cellStyle name="20% - Accent4 2 3 7 2" xfId="13814" xr:uid="{8B6B2188-5B3B-4CF3-8BD4-416131C85BE6}"/>
    <cellStyle name="20% - Accent4 2 3 8" xfId="9597" xr:uid="{4497DF77-8C75-4053-B6E6-0BD158FFC088}"/>
    <cellStyle name="20% - Accent4 2 3 9" xfId="8764" xr:uid="{489A1364-2C05-4599-9B7E-94FD6D13E885}"/>
    <cellStyle name="20% - Accent4 2 4" xfId="595" xr:uid="{00000000-0005-0000-0000-00001F020000}"/>
    <cellStyle name="20% - Accent4 2 4 2" xfId="2866" xr:uid="{00000000-0005-0000-0000-000020020000}"/>
    <cellStyle name="20% - Accent4 2 4 2 2" xfId="7088" xr:uid="{00000000-0005-0000-0000-000021020000}"/>
    <cellStyle name="20% - Accent4 2 4 2 2 2" xfId="16370" xr:uid="{B87629E5-EB55-42EC-B2F3-D728AA291084}"/>
    <cellStyle name="20% - Accent4 2 4 2 3" xfId="12153" xr:uid="{E0687274-76F8-4A3C-952A-7EC4A161D2CC}"/>
    <cellStyle name="20% - Accent4 2 4 3" xfId="4943" xr:uid="{00000000-0005-0000-0000-000022020000}"/>
    <cellStyle name="20% - Accent4 2 4 3 2" xfId="14225" xr:uid="{E5284F55-DA54-4B0C-ABA7-84A7FB648644}"/>
    <cellStyle name="20% - Accent4 2 4 4" xfId="10008" xr:uid="{D8208F00-9490-4F0B-897F-788E7B44E985}"/>
    <cellStyle name="20% - Accent4 2 4 5" xfId="9178" xr:uid="{A006E68D-8F06-40EA-BCED-230D68ECEF6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783" xr:uid="{5689ACAD-2896-4979-9E6A-F72C0BA9370E}"/>
    <cellStyle name="20% - Accent4 2 5 2 3" xfId="12566" xr:uid="{A7457961-8368-4DE3-BAC6-70C523C40859}"/>
    <cellStyle name="20% - Accent4 2 5 3" xfId="5356" xr:uid="{00000000-0005-0000-0000-000026020000}"/>
    <cellStyle name="20% - Accent4 2 5 3 2" xfId="14638" xr:uid="{3037868B-11AE-48D7-9417-939C21ED07CB}"/>
    <cellStyle name="20% - Accent4 2 5 4" xfId="10421" xr:uid="{40C71E52-0CBB-437D-9429-B42FF4795711}"/>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196" xr:uid="{3B37F00A-88B4-4FF6-AE14-4250D73982D4}"/>
    <cellStyle name="20% - Accent4 2 6 2 3" xfId="12979" xr:uid="{BA21CC29-C388-4A6C-81AF-612734176869}"/>
    <cellStyle name="20% - Accent4 2 6 3" xfId="5769" xr:uid="{00000000-0005-0000-0000-00002A020000}"/>
    <cellStyle name="20% - Accent4 2 6 3 2" xfId="15051" xr:uid="{539E248E-D390-4BAE-8C46-D17DBF988A5F}"/>
    <cellStyle name="20% - Accent4 2 6 4" xfId="10834" xr:uid="{6BF35F8E-401A-45FB-9261-F7C1E795787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09" xr:uid="{8BA5D1F5-02D3-43CB-B52A-7AB7435F58DA}"/>
    <cellStyle name="20% - Accent4 2 7 2 3" xfId="13392" xr:uid="{4CA24217-E944-428F-A2A7-68D071A5C98C}"/>
    <cellStyle name="20% - Accent4 2 7 3" xfId="6182" xr:uid="{00000000-0005-0000-0000-00002E020000}"/>
    <cellStyle name="20% - Accent4 2 7 3 2" xfId="15464" xr:uid="{2B7E598C-41BC-479E-B26E-11501CBEBA53}"/>
    <cellStyle name="20% - Accent4 2 7 4" xfId="11247" xr:uid="{B0724315-C03C-4C53-97B3-8F27D8E53BCF}"/>
    <cellStyle name="20% - Accent4 2 8" xfId="2289" xr:uid="{00000000-0005-0000-0000-00002F020000}"/>
    <cellStyle name="20% - Accent4 2 8 2" xfId="6595" xr:uid="{00000000-0005-0000-0000-000030020000}"/>
    <cellStyle name="20% - Accent4 2 8 2 2" xfId="15877" xr:uid="{504FE9F1-EC8D-4046-9E76-9355FD952D3C}"/>
    <cellStyle name="20% - Accent4 2 8 3" xfId="11660" xr:uid="{6DFADD5D-765E-4EC8-A3D6-F54C2A7145BF}"/>
    <cellStyle name="20% - Accent4 2 9" xfId="4529" xr:uid="{00000000-0005-0000-0000-000031020000}"/>
    <cellStyle name="20% - Accent4 2 9 2" xfId="13811" xr:uid="{A9649DD2-801C-418D-B7BC-BEE6C2A9B012}"/>
    <cellStyle name="20% - Accent4 3" xfId="30" xr:uid="{00000000-0005-0000-0000-000032020000}"/>
    <cellStyle name="20% - Accent4 3 10" xfId="8765" xr:uid="{4B98CD4A-AB26-4B92-AD3C-3FECBC3B052F}"/>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375" xr:uid="{1514AFEA-1A82-4773-891D-FDBFD9BE0FD6}"/>
    <cellStyle name="20% - Accent4 3 2 2 2 3" xfId="12158" xr:uid="{BFF3842D-0F84-4693-B085-B3A7DADD0C1A}"/>
    <cellStyle name="20% - Accent4 3 2 2 3" xfId="4948" xr:uid="{00000000-0005-0000-0000-000037020000}"/>
    <cellStyle name="20% - Accent4 3 2 2 3 2" xfId="14230" xr:uid="{6C4D03CA-6C73-48BD-A434-983C5515702B}"/>
    <cellStyle name="20% - Accent4 3 2 2 4" xfId="10013" xr:uid="{716BE273-BA67-4EAA-AC4E-75BADBBAFB05}"/>
    <cellStyle name="20% - Accent4 3 2 2 5" xfId="9183" xr:uid="{879FB381-F4EE-4979-94B7-6B12A0CBE393}"/>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788" xr:uid="{A33F69AD-4E03-4260-933A-BA4259DB2B77}"/>
    <cellStyle name="20% - Accent4 3 2 3 2 3" xfId="12571" xr:uid="{3F5C5D86-04C4-47E3-9ACE-A1F073080D1F}"/>
    <cellStyle name="20% - Accent4 3 2 3 3" xfId="5361" xr:uid="{00000000-0005-0000-0000-00003B020000}"/>
    <cellStyle name="20% - Accent4 3 2 3 3 2" xfId="14643" xr:uid="{FD7731D0-9F1B-416D-BDE6-482644810E53}"/>
    <cellStyle name="20% - Accent4 3 2 3 4" xfId="10426" xr:uid="{7509C4AE-D331-4EF7-99D3-97C2BFF1766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01" xr:uid="{20C1427E-1EE9-4302-B407-BE5D28166276}"/>
    <cellStyle name="20% - Accent4 3 2 4 2 3" xfId="12984" xr:uid="{78C22E1F-FC18-4CD0-883A-35A1B6994861}"/>
    <cellStyle name="20% - Accent4 3 2 4 3" xfId="5774" xr:uid="{00000000-0005-0000-0000-00003F020000}"/>
    <cellStyle name="20% - Accent4 3 2 4 3 2" xfId="15056" xr:uid="{CE87AD07-572F-4C15-9C82-5C17896C7262}"/>
    <cellStyle name="20% - Accent4 3 2 4 4" xfId="10839" xr:uid="{A295DAC9-E0BB-4135-B337-C0FDFF95901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14" xr:uid="{725D50AE-2577-4887-926F-694D1697F484}"/>
    <cellStyle name="20% - Accent4 3 2 5 2 3" xfId="13397" xr:uid="{6DF3D12E-1020-483E-B9CC-56B0B594A27E}"/>
    <cellStyle name="20% - Accent4 3 2 5 3" xfId="6187" xr:uid="{00000000-0005-0000-0000-000043020000}"/>
    <cellStyle name="20% - Accent4 3 2 5 3 2" xfId="15469" xr:uid="{75F4C642-E1CF-46A2-9597-699CF9F7A793}"/>
    <cellStyle name="20% - Accent4 3 2 5 4" xfId="11252" xr:uid="{69EDC102-10FE-4627-A8DB-629458F41D1E}"/>
    <cellStyle name="20% - Accent4 3 2 6" xfId="2294" xr:uid="{00000000-0005-0000-0000-000044020000}"/>
    <cellStyle name="20% - Accent4 3 2 6 2" xfId="6600" xr:uid="{00000000-0005-0000-0000-000045020000}"/>
    <cellStyle name="20% - Accent4 3 2 6 2 2" xfId="15882" xr:uid="{817B5C67-5A35-4EF5-A38B-D70243F77ACF}"/>
    <cellStyle name="20% - Accent4 3 2 6 3" xfId="11665" xr:uid="{6E051A5B-D132-42DB-8192-2FA139374035}"/>
    <cellStyle name="20% - Accent4 3 2 7" xfId="4534" xr:uid="{00000000-0005-0000-0000-000046020000}"/>
    <cellStyle name="20% - Accent4 3 2 7 2" xfId="13816" xr:uid="{48D527A4-3345-4489-A144-55F5FB0ED5AB}"/>
    <cellStyle name="20% - Accent4 3 2 8" xfId="9599" xr:uid="{31A57B8D-2EE5-494D-9A04-C2CB0EBDB966}"/>
    <cellStyle name="20% - Accent4 3 2 9" xfId="8766" xr:uid="{7FC6F8FE-6F2F-4384-9A49-FAF85638E52F}"/>
    <cellStyle name="20% - Accent4 3 3" xfId="599" xr:uid="{00000000-0005-0000-0000-000047020000}"/>
    <cellStyle name="20% - Accent4 3 3 2" xfId="2870" xr:uid="{00000000-0005-0000-0000-000048020000}"/>
    <cellStyle name="20% - Accent4 3 3 2 2" xfId="7092" xr:uid="{00000000-0005-0000-0000-000049020000}"/>
    <cellStyle name="20% - Accent4 3 3 2 2 2" xfId="16374" xr:uid="{DD1F14B3-8BB6-4A41-97FF-1233C3E91086}"/>
    <cellStyle name="20% - Accent4 3 3 2 3" xfId="12157" xr:uid="{8C9AE4AD-B66A-4973-B77E-1A08F6966ABE}"/>
    <cellStyle name="20% - Accent4 3 3 3" xfId="4947" xr:uid="{00000000-0005-0000-0000-00004A020000}"/>
    <cellStyle name="20% - Accent4 3 3 3 2" xfId="14229" xr:uid="{8F5583A4-4F31-4591-A2AA-54695B6CEE02}"/>
    <cellStyle name="20% - Accent4 3 3 4" xfId="10012" xr:uid="{AE2BAD0A-71AF-4FE7-8817-9C2B973BB7F3}"/>
    <cellStyle name="20% - Accent4 3 3 5" xfId="9182" xr:uid="{22421114-2BD6-497E-8553-B346056BEC5A}"/>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787" xr:uid="{EDDE0145-0D6C-4031-AE28-D0383CA6BD52}"/>
    <cellStyle name="20% - Accent4 3 4 2 3" xfId="12570" xr:uid="{E21C57B1-47DE-431C-A519-5E114140F43E}"/>
    <cellStyle name="20% - Accent4 3 4 3" xfId="5360" xr:uid="{00000000-0005-0000-0000-00004E020000}"/>
    <cellStyle name="20% - Accent4 3 4 3 2" xfId="14642" xr:uid="{9F922622-AB0C-4651-BBD1-0ED8F77F23A3}"/>
    <cellStyle name="20% - Accent4 3 4 4" xfId="10425" xr:uid="{0A372418-9102-422A-A66A-AA70A561199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00" xr:uid="{4AD2EFF2-CA31-47C5-8421-AE2FC5DC5BB7}"/>
    <cellStyle name="20% - Accent4 3 5 2 3" xfId="12983" xr:uid="{72DE8EF4-04B8-48A9-98A1-B4EE5310234F}"/>
    <cellStyle name="20% - Accent4 3 5 3" xfId="5773" xr:uid="{00000000-0005-0000-0000-000052020000}"/>
    <cellStyle name="20% - Accent4 3 5 3 2" xfId="15055" xr:uid="{5457F894-9AE9-4AE3-9843-B4EE73F4863B}"/>
    <cellStyle name="20% - Accent4 3 5 4" xfId="10838" xr:uid="{A625D8F2-A0FE-47B8-A719-2A085584771B}"/>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13" xr:uid="{C1B75588-557B-48D1-BCF6-6CD71702D907}"/>
    <cellStyle name="20% - Accent4 3 6 2 3" xfId="13396" xr:uid="{FF20F214-E48C-459A-A655-BD41E03EBBFB}"/>
    <cellStyle name="20% - Accent4 3 6 3" xfId="6186" xr:uid="{00000000-0005-0000-0000-000056020000}"/>
    <cellStyle name="20% - Accent4 3 6 3 2" xfId="15468" xr:uid="{A0B5B1CB-B1EC-4F7A-9481-18963D7456CF}"/>
    <cellStyle name="20% - Accent4 3 6 4" xfId="11251" xr:uid="{2005AD3F-36DB-4B77-BEA8-56B90F84632A}"/>
    <cellStyle name="20% - Accent4 3 7" xfId="2293" xr:uid="{00000000-0005-0000-0000-000057020000}"/>
    <cellStyle name="20% - Accent4 3 7 2" xfId="6599" xr:uid="{00000000-0005-0000-0000-000058020000}"/>
    <cellStyle name="20% - Accent4 3 7 2 2" xfId="15881" xr:uid="{6AFD8928-F056-4CFE-84C6-5AD520FAA0ED}"/>
    <cellStyle name="20% - Accent4 3 7 3" xfId="11664" xr:uid="{BB15410E-18A0-4FBD-865F-B09AA2691738}"/>
    <cellStyle name="20% - Accent4 3 8" xfId="4533" xr:uid="{00000000-0005-0000-0000-000059020000}"/>
    <cellStyle name="20% - Accent4 3 8 2" xfId="13815" xr:uid="{AF762902-6F67-4729-A9AD-D429C0FBE1BA}"/>
    <cellStyle name="20% - Accent4 3 9" xfId="9598" xr:uid="{0AF2C952-2E88-4D67-B1BA-FEDEA35D105F}"/>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376" xr:uid="{A53326A3-497F-46CC-8D4C-372115E68BB5}"/>
    <cellStyle name="20% - Accent4 4 2 2 3" xfId="12159" xr:uid="{E06ABBA7-B758-4930-AC51-6E9731ACAA6D}"/>
    <cellStyle name="20% - Accent4 4 2 3" xfId="4949" xr:uid="{00000000-0005-0000-0000-00005E020000}"/>
    <cellStyle name="20% - Accent4 4 2 3 2" xfId="14231" xr:uid="{EE763BA6-84A9-4B1F-A103-01C74D2423BC}"/>
    <cellStyle name="20% - Accent4 4 2 4" xfId="10014" xr:uid="{0EAA0995-EED5-48ED-8867-2040756E598C}"/>
    <cellStyle name="20% - Accent4 4 2 5" xfId="9184" xr:uid="{E4894B46-69F2-413C-B22C-A40583D1602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789" xr:uid="{405889CB-D464-41E1-83EC-6A029A332405}"/>
    <cellStyle name="20% - Accent4 4 3 2 3" xfId="12572" xr:uid="{C7C49F1D-792A-4E23-81A9-43B83A73A4CA}"/>
    <cellStyle name="20% - Accent4 4 3 3" xfId="5362" xr:uid="{00000000-0005-0000-0000-000062020000}"/>
    <cellStyle name="20% - Accent4 4 3 3 2" xfId="14644" xr:uid="{EA3CB54D-66BE-4046-BFA2-9F8A1C5964A4}"/>
    <cellStyle name="20% - Accent4 4 3 4" xfId="10427" xr:uid="{76FD0A44-BB44-42CB-9E43-33DE669D369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02" xr:uid="{856473C2-AE74-4F57-AB13-79A5DEE88469}"/>
    <cellStyle name="20% - Accent4 4 4 2 3" xfId="12985" xr:uid="{16B36D10-58EE-4EE8-8DC1-4E097043287D}"/>
    <cellStyle name="20% - Accent4 4 4 3" xfId="5775" xr:uid="{00000000-0005-0000-0000-000066020000}"/>
    <cellStyle name="20% - Accent4 4 4 3 2" xfId="15057" xr:uid="{A8B45E28-11A2-4F3A-ABBC-0FBD997A8AEC}"/>
    <cellStyle name="20% - Accent4 4 4 4" xfId="10840" xr:uid="{C33FB8CA-FE0C-4525-A86D-1E463FB6695F}"/>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15" xr:uid="{59A26307-43D7-4048-9645-74C5BE941E4D}"/>
    <cellStyle name="20% - Accent4 4 5 2 3" xfId="13398" xr:uid="{D7571F29-EFF2-43C0-A213-61B1F576D142}"/>
    <cellStyle name="20% - Accent4 4 5 3" xfId="6188" xr:uid="{00000000-0005-0000-0000-00006A020000}"/>
    <cellStyle name="20% - Accent4 4 5 3 2" xfId="15470" xr:uid="{884F38B5-0AE1-4312-ABF4-A77C37F121CA}"/>
    <cellStyle name="20% - Accent4 4 5 4" xfId="11253" xr:uid="{100EE042-07AC-4C60-B646-65475ED11773}"/>
    <cellStyle name="20% - Accent4 4 6" xfId="2295" xr:uid="{00000000-0005-0000-0000-00006B020000}"/>
    <cellStyle name="20% - Accent4 4 6 2" xfId="6601" xr:uid="{00000000-0005-0000-0000-00006C020000}"/>
    <cellStyle name="20% - Accent4 4 6 2 2" xfId="15883" xr:uid="{87FF5EAB-4951-4C61-A5E8-F7DF8A8C8CB9}"/>
    <cellStyle name="20% - Accent4 4 6 3" xfId="11666" xr:uid="{98FCEFFD-FC2C-4D13-92C8-D82B17A8230D}"/>
    <cellStyle name="20% - Accent4 4 7" xfId="4535" xr:uid="{00000000-0005-0000-0000-00006D020000}"/>
    <cellStyle name="20% - Accent4 4 7 2" xfId="13817" xr:uid="{B089C6AA-C49A-4D9F-890A-C2ED09085756}"/>
    <cellStyle name="20% - Accent4 4 8" xfId="9600" xr:uid="{72ADBBD3-8155-4D73-AAAD-E249189FCB24}"/>
    <cellStyle name="20% - Accent4 4 9" xfId="8767" xr:uid="{E6446459-068C-4C95-834A-8E44969C7A91}"/>
    <cellStyle name="20% - Accent4 5" xfId="594" xr:uid="{00000000-0005-0000-0000-00006E020000}"/>
    <cellStyle name="20% - Accent4 5 2" xfId="2865" xr:uid="{00000000-0005-0000-0000-00006F020000}"/>
    <cellStyle name="20% - Accent4 5 2 2" xfId="7087" xr:uid="{00000000-0005-0000-0000-000070020000}"/>
    <cellStyle name="20% - Accent4 5 2 2 2" xfId="16369" xr:uid="{8C09A35F-7AEC-4D92-B87D-5BCC9A1DFA4C}"/>
    <cellStyle name="20% - Accent4 5 2 3" xfId="12152" xr:uid="{F13CC7B4-A5CE-4C60-B235-D9413732B6F4}"/>
    <cellStyle name="20% - Accent4 5 3" xfId="4942" xr:uid="{00000000-0005-0000-0000-000071020000}"/>
    <cellStyle name="20% - Accent4 5 3 2" xfId="14224" xr:uid="{3B878F33-307D-4702-9900-33F0CB7C2EF1}"/>
    <cellStyle name="20% - Accent4 5 4" xfId="10007" xr:uid="{F3C504BD-31A9-4E3F-B5F8-D771CD6A3C62}"/>
    <cellStyle name="20% - Accent4 5 5" xfId="9177" xr:uid="{53771E60-E9FD-4B94-A6D2-4EDEEB697508}"/>
    <cellStyle name="20% - Accent4 6" xfId="1047" xr:uid="{00000000-0005-0000-0000-000072020000}"/>
    <cellStyle name="20% - Accent4 6 2" xfId="3278" xr:uid="{00000000-0005-0000-0000-000073020000}"/>
    <cellStyle name="20% - Accent4 6 2 2" xfId="7500" xr:uid="{00000000-0005-0000-0000-000074020000}"/>
    <cellStyle name="20% - Accent4 6 2 2 2" xfId="16782" xr:uid="{F7ADE1B3-AEEE-4960-8A32-7906BD75D399}"/>
    <cellStyle name="20% - Accent4 6 2 3" xfId="12565" xr:uid="{CB0B283F-3154-4FD5-8012-E137AE42FAF8}"/>
    <cellStyle name="20% - Accent4 6 3" xfId="5355" xr:uid="{00000000-0005-0000-0000-000075020000}"/>
    <cellStyle name="20% - Accent4 6 3 2" xfId="14637" xr:uid="{B7864665-C18E-4824-B26A-CA2FD0D1070F}"/>
    <cellStyle name="20% - Accent4 6 4" xfId="10420" xr:uid="{635C7E7D-0368-49D3-A5A7-A45104F7227F}"/>
    <cellStyle name="20% - Accent4 7" xfId="1461" xr:uid="{00000000-0005-0000-0000-000076020000}"/>
    <cellStyle name="20% - Accent4 7 2" xfId="3691" xr:uid="{00000000-0005-0000-0000-000077020000}"/>
    <cellStyle name="20% - Accent4 7 2 2" xfId="7913" xr:uid="{00000000-0005-0000-0000-000078020000}"/>
    <cellStyle name="20% - Accent4 7 2 2 2" xfId="17195" xr:uid="{D8883BC1-7AAF-4A47-BBDE-0D19ED0A8269}"/>
    <cellStyle name="20% - Accent4 7 2 3" xfId="12978" xr:uid="{5740D0A0-F1D2-4998-932F-DBBB6417678D}"/>
    <cellStyle name="20% - Accent4 7 3" xfId="5768" xr:uid="{00000000-0005-0000-0000-000079020000}"/>
    <cellStyle name="20% - Accent4 7 3 2" xfId="15050" xr:uid="{E3E8E522-2AEA-4367-8810-D3A7BC39F5B1}"/>
    <cellStyle name="20% - Accent4 7 4" xfId="10833" xr:uid="{DF925A62-77EE-4671-8969-289AFADEB0F4}"/>
    <cellStyle name="20% - Accent4 8" xfId="1875" xr:uid="{00000000-0005-0000-0000-00007A020000}"/>
    <cellStyle name="20% - Accent4 8 2" xfId="4104" xr:uid="{00000000-0005-0000-0000-00007B020000}"/>
    <cellStyle name="20% - Accent4 8 2 2" xfId="8326" xr:uid="{00000000-0005-0000-0000-00007C020000}"/>
    <cellStyle name="20% - Accent4 8 2 2 2" xfId="17608" xr:uid="{3D52FC01-18FA-4E4C-AB10-F4A818D3F9E5}"/>
    <cellStyle name="20% - Accent4 8 2 3" xfId="13391" xr:uid="{BAE6A32B-8E12-4139-AFD0-BE120D8FE777}"/>
    <cellStyle name="20% - Accent4 8 3" xfId="6181" xr:uid="{00000000-0005-0000-0000-00007D020000}"/>
    <cellStyle name="20% - Accent4 8 3 2" xfId="15463" xr:uid="{6933148D-49D9-467B-855D-9E276DB89545}"/>
    <cellStyle name="20% - Accent4 8 4" xfId="11246" xr:uid="{0CC9AF33-3BA8-4954-A8A6-2E4D4F80BF8C}"/>
    <cellStyle name="20% - Accent4 9" xfId="2288" xr:uid="{00000000-0005-0000-0000-00007E020000}"/>
    <cellStyle name="20% - Accent4 9 2" xfId="6594" xr:uid="{00000000-0005-0000-0000-00007F020000}"/>
    <cellStyle name="20% - Accent4 9 2 2" xfId="15876" xr:uid="{C404A588-C850-409A-8AA1-65DCCFAEFF2B}"/>
    <cellStyle name="20% - Accent4 9 3" xfId="11659" xr:uid="{79D4CEA9-1A65-4400-A8BD-D894E8986FA3}"/>
    <cellStyle name="20% - Accent5" xfId="33" builtinId="46" customBuiltin="1"/>
    <cellStyle name="20% - Accent5 10" xfId="4536" xr:uid="{00000000-0005-0000-0000-000081020000}"/>
    <cellStyle name="20% - Accent5 10 2" xfId="13818" xr:uid="{2EE2F08D-D5B7-4290-82D9-D9742677F187}"/>
    <cellStyle name="20% - Accent5 11" xfId="9601" xr:uid="{C882FE8C-83F4-4537-A082-790CEDE31CCD}"/>
    <cellStyle name="20% - Accent5 12" xfId="8768" xr:uid="{DDDFF8EC-E43B-4677-8A54-B727575D2F64}"/>
    <cellStyle name="20% - Accent5 2" xfId="34" xr:uid="{00000000-0005-0000-0000-000082020000}"/>
    <cellStyle name="20% - Accent5 2 10" xfId="9602" xr:uid="{55950A8E-1D22-4174-B58F-3CFED2BA4215}"/>
    <cellStyle name="20% - Accent5 2 11" xfId="8769" xr:uid="{46A7EDE0-E2A7-42A8-AC87-18F3051739E5}"/>
    <cellStyle name="20% - Accent5 2 2" xfId="35" xr:uid="{00000000-0005-0000-0000-000083020000}"/>
    <cellStyle name="20% - Accent5 2 2 10" xfId="8770" xr:uid="{FD6F2DA5-33FF-45F1-8D50-E5E8DA1DFD2C}"/>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380" xr:uid="{82258092-5268-4549-BAB3-E6A5863B9B06}"/>
    <cellStyle name="20% - Accent5 2 2 2 2 2 3" xfId="12163" xr:uid="{BF4DB9D2-74B2-44BD-9703-4102CF798D6C}"/>
    <cellStyle name="20% - Accent5 2 2 2 2 3" xfId="4953" xr:uid="{00000000-0005-0000-0000-000088020000}"/>
    <cellStyle name="20% - Accent5 2 2 2 2 3 2" xfId="14235" xr:uid="{34609798-DF4B-4CB5-AE87-92B6787172F6}"/>
    <cellStyle name="20% - Accent5 2 2 2 2 4" xfId="10018" xr:uid="{C5F69EE4-C5D7-486B-9814-E28C9BD29A66}"/>
    <cellStyle name="20% - Accent5 2 2 2 2 5" xfId="9188" xr:uid="{120ECCC0-FC61-4A16-8057-0A3AD3071339}"/>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793" xr:uid="{F97EB0D0-33D7-4A13-A7C6-ABB0740BAAFD}"/>
    <cellStyle name="20% - Accent5 2 2 2 3 2 3" xfId="12576" xr:uid="{8B6BA668-4ABB-4765-B34A-281C11739E85}"/>
    <cellStyle name="20% - Accent5 2 2 2 3 3" xfId="5366" xr:uid="{00000000-0005-0000-0000-00008C020000}"/>
    <cellStyle name="20% - Accent5 2 2 2 3 3 2" xfId="14648" xr:uid="{08E86D55-1C6D-4411-9B05-17F909ACDD96}"/>
    <cellStyle name="20% - Accent5 2 2 2 3 4" xfId="10431" xr:uid="{BAA5A6E5-8EF8-4AC5-A6B4-9AB29239A7C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06" xr:uid="{6845FBDB-0A19-4F30-AE50-6FDB8F418883}"/>
    <cellStyle name="20% - Accent5 2 2 2 4 2 3" xfId="12989" xr:uid="{FF87FEB8-BF4D-4B33-AB52-16565E2E122E}"/>
    <cellStyle name="20% - Accent5 2 2 2 4 3" xfId="5779" xr:uid="{00000000-0005-0000-0000-000090020000}"/>
    <cellStyle name="20% - Accent5 2 2 2 4 3 2" xfId="15061" xr:uid="{EA6A302F-3D46-45B8-B5CF-B210686D6888}"/>
    <cellStyle name="20% - Accent5 2 2 2 4 4" xfId="10844" xr:uid="{06EAD0CC-68A8-455D-B078-6EA998DE733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19" xr:uid="{D777F2EC-C5EB-479C-AC7E-8EC039907429}"/>
    <cellStyle name="20% - Accent5 2 2 2 5 2 3" xfId="13402" xr:uid="{7EFAD520-9763-48A6-967C-A28067F5D49B}"/>
    <cellStyle name="20% - Accent5 2 2 2 5 3" xfId="6192" xr:uid="{00000000-0005-0000-0000-000094020000}"/>
    <cellStyle name="20% - Accent5 2 2 2 5 3 2" xfId="15474" xr:uid="{E56796C7-1C46-4944-9982-4EE045C90509}"/>
    <cellStyle name="20% - Accent5 2 2 2 5 4" xfId="11257" xr:uid="{26528728-C2F4-48E7-A5C6-8D871404A508}"/>
    <cellStyle name="20% - Accent5 2 2 2 6" xfId="2299" xr:uid="{00000000-0005-0000-0000-000095020000}"/>
    <cellStyle name="20% - Accent5 2 2 2 6 2" xfId="6605" xr:uid="{00000000-0005-0000-0000-000096020000}"/>
    <cellStyle name="20% - Accent5 2 2 2 6 2 2" xfId="15887" xr:uid="{74F424BA-D853-4942-A8FB-E119CD8A949F}"/>
    <cellStyle name="20% - Accent5 2 2 2 6 3" xfId="11670" xr:uid="{C6183B9B-AFF3-4345-96D1-DEC444EBC0ED}"/>
    <cellStyle name="20% - Accent5 2 2 2 7" xfId="4539" xr:uid="{00000000-0005-0000-0000-000097020000}"/>
    <cellStyle name="20% - Accent5 2 2 2 7 2" xfId="13821" xr:uid="{C98C62A6-13D9-4DA6-A783-28ECBD27C580}"/>
    <cellStyle name="20% - Accent5 2 2 2 8" xfId="9604" xr:uid="{6787697C-0871-4D2D-913E-72EB411B4C81}"/>
    <cellStyle name="20% - Accent5 2 2 2 9" xfId="8771" xr:uid="{D81B0896-3440-493D-BB1F-E71F3615842D}"/>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379" xr:uid="{5323C3F3-6B7A-4DBE-9B8B-8D0B242587E0}"/>
    <cellStyle name="20% - Accent5 2 2 3 2 3" xfId="12162" xr:uid="{0B86CA5F-4CFE-447F-BCA2-DAC3DF995639}"/>
    <cellStyle name="20% - Accent5 2 2 3 3" xfId="4952" xr:uid="{00000000-0005-0000-0000-00009B020000}"/>
    <cellStyle name="20% - Accent5 2 2 3 3 2" xfId="14234" xr:uid="{9E6A9BA4-539E-4BE0-AE41-4C7F83AD7888}"/>
    <cellStyle name="20% - Accent5 2 2 3 4" xfId="10017" xr:uid="{35E82E82-3787-4207-9DCE-E949383791D0}"/>
    <cellStyle name="20% - Accent5 2 2 3 5" xfId="9187" xr:uid="{B9B47A52-5FD2-48E3-A9F7-3A83D9ED624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792" xr:uid="{80854EED-568A-41CD-92BA-2D6A13C0C183}"/>
    <cellStyle name="20% - Accent5 2 2 4 2 3" xfId="12575" xr:uid="{41BA2EF6-0B08-4745-A6ED-ABEE9BFBAC0F}"/>
    <cellStyle name="20% - Accent5 2 2 4 3" xfId="5365" xr:uid="{00000000-0005-0000-0000-00009F020000}"/>
    <cellStyle name="20% - Accent5 2 2 4 3 2" xfId="14647" xr:uid="{494EF3A4-C1EE-494C-8527-C000A03889EA}"/>
    <cellStyle name="20% - Accent5 2 2 4 4" xfId="10430" xr:uid="{DDA35606-F2F1-4762-A075-58161C26182E}"/>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05" xr:uid="{F70762F4-C39B-4A70-BE49-A6615590372A}"/>
    <cellStyle name="20% - Accent5 2 2 5 2 3" xfId="12988" xr:uid="{E569B1BF-1495-4C03-A415-64540E046B65}"/>
    <cellStyle name="20% - Accent5 2 2 5 3" xfId="5778" xr:uid="{00000000-0005-0000-0000-0000A3020000}"/>
    <cellStyle name="20% - Accent5 2 2 5 3 2" xfId="15060" xr:uid="{5DD6F102-F59D-4899-8525-F303FA8DA823}"/>
    <cellStyle name="20% - Accent5 2 2 5 4" xfId="10843" xr:uid="{03058668-3819-4A03-ABDC-1ABEE9DC1D93}"/>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18" xr:uid="{6FE2FA04-2161-4C06-9225-47A55609B88C}"/>
    <cellStyle name="20% - Accent5 2 2 6 2 3" xfId="13401" xr:uid="{71AF8D12-EFAA-4E9F-A666-D3F0119799C6}"/>
    <cellStyle name="20% - Accent5 2 2 6 3" xfId="6191" xr:uid="{00000000-0005-0000-0000-0000A7020000}"/>
    <cellStyle name="20% - Accent5 2 2 6 3 2" xfId="15473" xr:uid="{B03F39F9-D48B-414C-B42D-AC8F8AF1AAE0}"/>
    <cellStyle name="20% - Accent5 2 2 6 4" xfId="11256" xr:uid="{F0375B23-1EA1-43D4-9660-1737BF300149}"/>
    <cellStyle name="20% - Accent5 2 2 7" xfId="2298" xr:uid="{00000000-0005-0000-0000-0000A8020000}"/>
    <cellStyle name="20% - Accent5 2 2 7 2" xfId="6604" xr:uid="{00000000-0005-0000-0000-0000A9020000}"/>
    <cellStyle name="20% - Accent5 2 2 7 2 2" xfId="15886" xr:uid="{08D1749E-9637-4C09-BB55-8982A3873376}"/>
    <cellStyle name="20% - Accent5 2 2 7 3" xfId="11669" xr:uid="{EEAA5422-47D8-43BD-87CC-2F4B900E2EDD}"/>
    <cellStyle name="20% - Accent5 2 2 8" xfId="4538" xr:uid="{00000000-0005-0000-0000-0000AA020000}"/>
    <cellStyle name="20% - Accent5 2 2 8 2" xfId="13820" xr:uid="{BA56DFFB-68F9-40BA-9570-2A6AAB85FB0C}"/>
    <cellStyle name="20% - Accent5 2 2 9" xfId="9603" xr:uid="{222F2FC6-4660-411C-8D74-85C6004DF12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381" xr:uid="{7DC762B4-14DB-4464-BD81-CE421DEF673A}"/>
    <cellStyle name="20% - Accent5 2 3 2 2 3" xfId="12164" xr:uid="{29B44FA5-5865-4386-B12B-D869C05F5361}"/>
    <cellStyle name="20% - Accent5 2 3 2 3" xfId="4954" xr:uid="{00000000-0005-0000-0000-0000AF020000}"/>
    <cellStyle name="20% - Accent5 2 3 2 3 2" xfId="14236" xr:uid="{88C37AF8-993E-40E8-BC2F-25D503DF114C}"/>
    <cellStyle name="20% - Accent5 2 3 2 4" xfId="10019" xr:uid="{B547AD4F-08C6-421D-AAFB-D42FB7FB5BB1}"/>
    <cellStyle name="20% - Accent5 2 3 2 5" xfId="9189" xr:uid="{BD499E3D-6B5C-4438-8DD1-BD62372DCC9B}"/>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794" xr:uid="{4AA800B6-B84C-4779-8450-6CFF457B04FF}"/>
    <cellStyle name="20% - Accent5 2 3 3 2 3" xfId="12577" xr:uid="{9F68B391-13BA-4704-AE66-6DC3913D70E8}"/>
    <cellStyle name="20% - Accent5 2 3 3 3" xfId="5367" xr:uid="{00000000-0005-0000-0000-0000B3020000}"/>
    <cellStyle name="20% - Accent5 2 3 3 3 2" xfId="14649" xr:uid="{8B7CA827-F28C-4479-9AFA-DD1E5B9AA26C}"/>
    <cellStyle name="20% - Accent5 2 3 3 4" xfId="10432" xr:uid="{C1D4C0AC-92EB-4539-9FD1-60352453A0A4}"/>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07" xr:uid="{B336CF86-465E-4807-B6E0-D3D293CBC895}"/>
    <cellStyle name="20% - Accent5 2 3 4 2 3" xfId="12990" xr:uid="{1EB20746-A47E-42A1-84CA-527780EE6E26}"/>
    <cellStyle name="20% - Accent5 2 3 4 3" xfId="5780" xr:uid="{00000000-0005-0000-0000-0000B7020000}"/>
    <cellStyle name="20% - Accent5 2 3 4 3 2" xfId="15062" xr:uid="{EAC3F034-0E86-4761-8A31-FAE87CFCC4B6}"/>
    <cellStyle name="20% - Accent5 2 3 4 4" xfId="10845" xr:uid="{53C9C22F-CDF2-4F59-B444-8F6356992698}"/>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20" xr:uid="{00DEB920-0705-452B-956F-85FBDB05EFAC}"/>
    <cellStyle name="20% - Accent5 2 3 5 2 3" xfId="13403" xr:uid="{EC71BD1F-1FE1-47BF-8A71-5AA7DAD7EF37}"/>
    <cellStyle name="20% - Accent5 2 3 5 3" xfId="6193" xr:uid="{00000000-0005-0000-0000-0000BB020000}"/>
    <cellStyle name="20% - Accent5 2 3 5 3 2" xfId="15475" xr:uid="{086F4B30-6F93-47C9-8E98-0EAA5A3033CD}"/>
    <cellStyle name="20% - Accent5 2 3 5 4" xfId="11258" xr:uid="{4991FF58-B5D7-455C-B65C-CA38F934B98F}"/>
    <cellStyle name="20% - Accent5 2 3 6" xfId="2300" xr:uid="{00000000-0005-0000-0000-0000BC020000}"/>
    <cellStyle name="20% - Accent5 2 3 6 2" xfId="6606" xr:uid="{00000000-0005-0000-0000-0000BD020000}"/>
    <cellStyle name="20% - Accent5 2 3 6 2 2" xfId="15888" xr:uid="{61FF207D-3B3C-4A52-80C3-DC55C887C981}"/>
    <cellStyle name="20% - Accent5 2 3 6 3" xfId="11671" xr:uid="{C260C445-8CAC-47BB-A015-3319B8A7E4F6}"/>
    <cellStyle name="20% - Accent5 2 3 7" xfId="4540" xr:uid="{00000000-0005-0000-0000-0000BE020000}"/>
    <cellStyle name="20% - Accent5 2 3 7 2" xfId="13822" xr:uid="{38CA7866-443E-43C6-A0FB-BCE56EBB7E30}"/>
    <cellStyle name="20% - Accent5 2 3 8" xfId="9605" xr:uid="{F1F8956E-9186-42E5-B090-570B0FBA2C08}"/>
    <cellStyle name="20% - Accent5 2 3 9" xfId="8772" xr:uid="{9ED18117-38A3-4EFC-AF91-FDF09F6FE9BA}"/>
    <cellStyle name="20% - Accent5 2 4" xfId="603" xr:uid="{00000000-0005-0000-0000-0000BF020000}"/>
    <cellStyle name="20% - Accent5 2 4 2" xfId="2874" xr:uid="{00000000-0005-0000-0000-0000C0020000}"/>
    <cellStyle name="20% - Accent5 2 4 2 2" xfId="7096" xr:uid="{00000000-0005-0000-0000-0000C1020000}"/>
    <cellStyle name="20% - Accent5 2 4 2 2 2" xfId="16378" xr:uid="{E0EE545F-B065-4B91-8730-1CECC89FD675}"/>
    <cellStyle name="20% - Accent5 2 4 2 3" xfId="12161" xr:uid="{BF2C6778-471D-442F-B8E9-A37ED001CE51}"/>
    <cellStyle name="20% - Accent5 2 4 3" xfId="4951" xr:uid="{00000000-0005-0000-0000-0000C2020000}"/>
    <cellStyle name="20% - Accent5 2 4 3 2" xfId="14233" xr:uid="{27C8FAFA-1968-4F11-8D71-62ACE1EC6A83}"/>
    <cellStyle name="20% - Accent5 2 4 4" xfId="10016" xr:uid="{736459C9-A06C-439D-A92F-F3A981C5FDB1}"/>
    <cellStyle name="20% - Accent5 2 4 5" xfId="9186" xr:uid="{443042C2-14BC-4A27-90C8-6C35B84EE5E9}"/>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791" xr:uid="{1903E0B1-03CC-444C-B2E3-7B948D2ADD7F}"/>
    <cellStyle name="20% - Accent5 2 5 2 3" xfId="12574" xr:uid="{77A32D04-83F9-483E-9E52-40FBC863BED3}"/>
    <cellStyle name="20% - Accent5 2 5 3" xfId="5364" xr:uid="{00000000-0005-0000-0000-0000C6020000}"/>
    <cellStyle name="20% - Accent5 2 5 3 2" xfId="14646" xr:uid="{A1DAA6D5-CF9E-4975-814C-01FE5CBB6D19}"/>
    <cellStyle name="20% - Accent5 2 5 4" xfId="10429" xr:uid="{2F4CF113-4298-481A-BC1E-4B499A6306B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04" xr:uid="{5EEA5C43-7E2D-4836-880B-6CBE4481D89F}"/>
    <cellStyle name="20% - Accent5 2 6 2 3" xfId="12987" xr:uid="{45906B80-9DCC-4930-912D-92B01E4758D5}"/>
    <cellStyle name="20% - Accent5 2 6 3" xfId="5777" xr:uid="{00000000-0005-0000-0000-0000CA020000}"/>
    <cellStyle name="20% - Accent5 2 6 3 2" xfId="15059" xr:uid="{8DCAFC05-D189-4F10-B34F-17DF86DEAEDA}"/>
    <cellStyle name="20% - Accent5 2 6 4" xfId="10842" xr:uid="{FB9D0A28-1027-4C89-8322-A8E2900F1D61}"/>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17" xr:uid="{19628B3B-2DDD-4A87-8C11-B8D4FAA0C8DC}"/>
    <cellStyle name="20% - Accent5 2 7 2 3" xfId="13400" xr:uid="{BB79EE8E-B769-412B-93B9-E83E986AFB4D}"/>
    <cellStyle name="20% - Accent5 2 7 3" xfId="6190" xr:uid="{00000000-0005-0000-0000-0000CE020000}"/>
    <cellStyle name="20% - Accent5 2 7 3 2" xfId="15472" xr:uid="{A8FB159B-AE71-4D88-B7CA-CAE0138BD20E}"/>
    <cellStyle name="20% - Accent5 2 7 4" xfId="11255" xr:uid="{CC35F621-BA79-41FF-901E-E7FF8E94386E}"/>
    <cellStyle name="20% - Accent5 2 8" xfId="2297" xr:uid="{00000000-0005-0000-0000-0000CF020000}"/>
    <cellStyle name="20% - Accent5 2 8 2" xfId="6603" xr:uid="{00000000-0005-0000-0000-0000D0020000}"/>
    <cellStyle name="20% - Accent5 2 8 2 2" xfId="15885" xr:uid="{50A99CC4-E280-4EED-B208-0C4639A16FA0}"/>
    <cellStyle name="20% - Accent5 2 8 3" xfId="11668" xr:uid="{EAA9F123-AEC1-4CBC-AEFE-EAD9DA8E6573}"/>
    <cellStyle name="20% - Accent5 2 9" xfId="4537" xr:uid="{00000000-0005-0000-0000-0000D1020000}"/>
    <cellStyle name="20% - Accent5 2 9 2" xfId="13819" xr:uid="{68A42485-CCE8-4535-BE9F-5FD04AFAC6B8}"/>
    <cellStyle name="20% - Accent5 3" xfId="38" xr:uid="{00000000-0005-0000-0000-0000D2020000}"/>
    <cellStyle name="20% - Accent5 3 10" xfId="8773" xr:uid="{397165F5-6390-43E2-844C-690019DD5735}"/>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383" xr:uid="{DBA09BA9-D537-4CD4-8B0D-0BDD2C653106}"/>
    <cellStyle name="20% - Accent5 3 2 2 2 3" xfId="12166" xr:uid="{6D9B815C-97C7-475A-A702-1AE4F1C62E4D}"/>
    <cellStyle name="20% - Accent5 3 2 2 3" xfId="4956" xr:uid="{00000000-0005-0000-0000-0000D7020000}"/>
    <cellStyle name="20% - Accent5 3 2 2 3 2" xfId="14238" xr:uid="{8AC6881C-DEC0-4082-B246-82056F206116}"/>
    <cellStyle name="20% - Accent5 3 2 2 4" xfId="10021" xr:uid="{36D39A30-3D3D-4250-B9D0-18F337EFBD47}"/>
    <cellStyle name="20% - Accent5 3 2 2 5" xfId="9191" xr:uid="{76203B79-1F96-4427-A2D8-8E23D92E2AA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796" xr:uid="{85EDDC9E-B09E-4593-A6C9-61D5229E8CD4}"/>
    <cellStyle name="20% - Accent5 3 2 3 2 3" xfId="12579" xr:uid="{04B01486-C990-4CF3-A85A-A46D80C677C7}"/>
    <cellStyle name="20% - Accent5 3 2 3 3" xfId="5369" xr:uid="{00000000-0005-0000-0000-0000DB020000}"/>
    <cellStyle name="20% - Accent5 3 2 3 3 2" xfId="14651" xr:uid="{57CB7836-7E60-4BAA-9398-4C6B96D64C3E}"/>
    <cellStyle name="20% - Accent5 3 2 3 4" xfId="10434" xr:uid="{DAAC9283-AAE5-4F7A-9DAE-6547F75BB19B}"/>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09" xr:uid="{8E475521-6DD9-4D7F-90D2-1A7BA7BD337A}"/>
    <cellStyle name="20% - Accent5 3 2 4 2 3" xfId="12992" xr:uid="{2A9C9D7A-D45D-43D7-BEDB-E3EEAB8EDA9B}"/>
    <cellStyle name="20% - Accent5 3 2 4 3" xfId="5782" xr:uid="{00000000-0005-0000-0000-0000DF020000}"/>
    <cellStyle name="20% - Accent5 3 2 4 3 2" xfId="15064" xr:uid="{9486A73B-747F-4003-8411-FCECB2805626}"/>
    <cellStyle name="20% - Accent5 3 2 4 4" xfId="10847" xr:uid="{8B3688F4-DF62-4599-A689-750BDB489F26}"/>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22" xr:uid="{87729DD9-5F52-45F5-9D11-48282FE3B9E9}"/>
    <cellStyle name="20% - Accent5 3 2 5 2 3" xfId="13405" xr:uid="{10CF5B35-E45F-4FD1-BEA1-CB0661154704}"/>
    <cellStyle name="20% - Accent5 3 2 5 3" xfId="6195" xr:uid="{00000000-0005-0000-0000-0000E3020000}"/>
    <cellStyle name="20% - Accent5 3 2 5 3 2" xfId="15477" xr:uid="{7D3804A2-74D9-4A66-AEC4-3FF352EED471}"/>
    <cellStyle name="20% - Accent5 3 2 5 4" xfId="11260" xr:uid="{063149E9-B99B-431E-9860-471B171B693D}"/>
    <cellStyle name="20% - Accent5 3 2 6" xfId="2302" xr:uid="{00000000-0005-0000-0000-0000E4020000}"/>
    <cellStyle name="20% - Accent5 3 2 6 2" xfId="6608" xr:uid="{00000000-0005-0000-0000-0000E5020000}"/>
    <cellStyle name="20% - Accent5 3 2 6 2 2" xfId="15890" xr:uid="{3140F434-8F55-4106-A511-218E52633626}"/>
    <cellStyle name="20% - Accent5 3 2 6 3" xfId="11673" xr:uid="{81C12C47-0ABF-4908-BE24-227CDF8A145E}"/>
    <cellStyle name="20% - Accent5 3 2 7" xfId="4542" xr:uid="{00000000-0005-0000-0000-0000E6020000}"/>
    <cellStyle name="20% - Accent5 3 2 7 2" xfId="13824" xr:uid="{05B5A5B1-6690-4CCA-90C0-6AE93EA968D1}"/>
    <cellStyle name="20% - Accent5 3 2 8" xfId="9607" xr:uid="{A3496361-AB7E-461A-A9BF-BED830BDB3F2}"/>
    <cellStyle name="20% - Accent5 3 2 9" xfId="8774" xr:uid="{0D3E4496-B5AC-4C00-A2C0-685C8441DD4F}"/>
    <cellStyle name="20% - Accent5 3 3" xfId="607" xr:uid="{00000000-0005-0000-0000-0000E7020000}"/>
    <cellStyle name="20% - Accent5 3 3 2" xfId="2878" xr:uid="{00000000-0005-0000-0000-0000E8020000}"/>
    <cellStyle name="20% - Accent5 3 3 2 2" xfId="7100" xr:uid="{00000000-0005-0000-0000-0000E9020000}"/>
    <cellStyle name="20% - Accent5 3 3 2 2 2" xfId="16382" xr:uid="{C83A19B5-4249-494D-9DA5-707D5C07DE47}"/>
    <cellStyle name="20% - Accent5 3 3 2 3" xfId="12165" xr:uid="{6E0A4772-7119-48EB-82C5-9DD8D494468A}"/>
    <cellStyle name="20% - Accent5 3 3 3" xfId="4955" xr:uid="{00000000-0005-0000-0000-0000EA020000}"/>
    <cellStyle name="20% - Accent5 3 3 3 2" xfId="14237" xr:uid="{02E14D67-5040-4EB3-83EE-52EF5C1C7D6E}"/>
    <cellStyle name="20% - Accent5 3 3 4" xfId="10020" xr:uid="{672AD797-E1DC-4846-9592-98ACC4FF3F55}"/>
    <cellStyle name="20% - Accent5 3 3 5" xfId="9190" xr:uid="{7E302D0C-D16B-4607-8A3E-800ACC04F9C4}"/>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795" xr:uid="{18AFF9AD-D3D5-4DD7-B6B0-8220207F6014}"/>
    <cellStyle name="20% - Accent5 3 4 2 3" xfId="12578" xr:uid="{3C5B6F27-D9BE-4B33-BE66-EF7AADAEE83C}"/>
    <cellStyle name="20% - Accent5 3 4 3" xfId="5368" xr:uid="{00000000-0005-0000-0000-0000EE020000}"/>
    <cellStyle name="20% - Accent5 3 4 3 2" xfId="14650" xr:uid="{01FF57E9-1818-4558-A0A2-953DCA182361}"/>
    <cellStyle name="20% - Accent5 3 4 4" xfId="10433" xr:uid="{39CEB4B9-3139-484F-AAF8-EBF5FD5E8171}"/>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08" xr:uid="{41BB95FA-AE6D-4803-9A1D-E33594C1BF3F}"/>
    <cellStyle name="20% - Accent5 3 5 2 3" xfId="12991" xr:uid="{571F586D-DDCC-4753-8921-B72DA96DF5BC}"/>
    <cellStyle name="20% - Accent5 3 5 3" xfId="5781" xr:uid="{00000000-0005-0000-0000-0000F2020000}"/>
    <cellStyle name="20% - Accent5 3 5 3 2" xfId="15063" xr:uid="{CCC6E828-CB7C-421A-989C-C209F584AE83}"/>
    <cellStyle name="20% - Accent5 3 5 4" xfId="10846" xr:uid="{30E6FE29-F59B-4049-B177-3AD36B1C7F42}"/>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21" xr:uid="{81C34F6B-2B6B-473A-9613-21A6888E8C31}"/>
    <cellStyle name="20% - Accent5 3 6 2 3" xfId="13404" xr:uid="{D95C1C55-D116-4C54-813D-DA47894782FA}"/>
    <cellStyle name="20% - Accent5 3 6 3" xfId="6194" xr:uid="{00000000-0005-0000-0000-0000F6020000}"/>
    <cellStyle name="20% - Accent5 3 6 3 2" xfId="15476" xr:uid="{6A681EE1-6C15-49E4-8C0A-249954A91C8C}"/>
    <cellStyle name="20% - Accent5 3 6 4" xfId="11259" xr:uid="{8B54B62A-4960-4941-AF27-75F0E05B5BBA}"/>
    <cellStyle name="20% - Accent5 3 7" xfId="2301" xr:uid="{00000000-0005-0000-0000-0000F7020000}"/>
    <cellStyle name="20% - Accent5 3 7 2" xfId="6607" xr:uid="{00000000-0005-0000-0000-0000F8020000}"/>
    <cellStyle name="20% - Accent5 3 7 2 2" xfId="15889" xr:uid="{F836304F-9C12-4618-8311-1F92795C81E8}"/>
    <cellStyle name="20% - Accent5 3 7 3" xfId="11672" xr:uid="{3985EFF7-9ADF-484B-821C-7FA47A5D7D0B}"/>
    <cellStyle name="20% - Accent5 3 8" xfId="4541" xr:uid="{00000000-0005-0000-0000-0000F9020000}"/>
    <cellStyle name="20% - Accent5 3 8 2" xfId="13823" xr:uid="{084F65C2-BAD5-448D-A06B-564AADB147BE}"/>
    <cellStyle name="20% - Accent5 3 9" xfId="9606" xr:uid="{5E738BD6-41CF-426D-8868-4E443640BEE6}"/>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384" xr:uid="{94959704-8982-4C25-B09D-59FFA065D5BF}"/>
    <cellStyle name="20% - Accent5 4 2 2 3" xfId="12167" xr:uid="{C830DBC0-78B3-4472-94BF-FD6B49510714}"/>
    <cellStyle name="20% - Accent5 4 2 3" xfId="4957" xr:uid="{00000000-0005-0000-0000-0000FE020000}"/>
    <cellStyle name="20% - Accent5 4 2 3 2" xfId="14239" xr:uid="{A55A838F-F7A9-4827-B528-FC50C1BD0C2D}"/>
    <cellStyle name="20% - Accent5 4 2 4" xfId="10022" xr:uid="{23C654C3-BEB8-43A4-A68C-F363FF47B344}"/>
    <cellStyle name="20% - Accent5 4 2 5" xfId="9192" xr:uid="{B18EC3D8-6CF4-4AB1-A7CF-E0CF464D454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797" xr:uid="{ED510CB9-BDD1-4B50-9E1A-C9B00F855D84}"/>
    <cellStyle name="20% - Accent5 4 3 2 3" xfId="12580" xr:uid="{09E46779-EF69-4E64-A7A8-25BB40F55764}"/>
    <cellStyle name="20% - Accent5 4 3 3" xfId="5370" xr:uid="{00000000-0005-0000-0000-000002030000}"/>
    <cellStyle name="20% - Accent5 4 3 3 2" xfId="14652" xr:uid="{F67CF059-B480-4870-B426-C10CC8F96900}"/>
    <cellStyle name="20% - Accent5 4 3 4" xfId="10435" xr:uid="{C1FF1F2E-D8E5-4D9F-9E36-A1CF13528ECD}"/>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10" xr:uid="{AD503C55-FC8B-4F6B-ADC4-C5311D9F6B7D}"/>
    <cellStyle name="20% - Accent5 4 4 2 3" xfId="12993" xr:uid="{6C40FDA2-E391-4840-8854-D8E065762B92}"/>
    <cellStyle name="20% - Accent5 4 4 3" xfId="5783" xr:uid="{00000000-0005-0000-0000-000006030000}"/>
    <cellStyle name="20% - Accent5 4 4 3 2" xfId="15065" xr:uid="{94FFF595-8FC8-4AC2-954B-001974C9112D}"/>
    <cellStyle name="20% - Accent5 4 4 4" xfId="10848" xr:uid="{65211721-312E-403F-9572-12250F20EF6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23" xr:uid="{7F1E4F14-1DDB-4B4C-9862-94B40EEC3EF3}"/>
    <cellStyle name="20% - Accent5 4 5 2 3" xfId="13406" xr:uid="{37EA4DFD-4D36-4DC3-8837-98AF558E9578}"/>
    <cellStyle name="20% - Accent5 4 5 3" xfId="6196" xr:uid="{00000000-0005-0000-0000-00000A030000}"/>
    <cellStyle name="20% - Accent5 4 5 3 2" xfId="15478" xr:uid="{2422BF05-C492-4EED-8DCE-548BC7E534B9}"/>
    <cellStyle name="20% - Accent5 4 5 4" xfId="11261" xr:uid="{CBEA08B7-11DE-4039-A81E-E787487D2443}"/>
    <cellStyle name="20% - Accent5 4 6" xfId="2303" xr:uid="{00000000-0005-0000-0000-00000B030000}"/>
    <cellStyle name="20% - Accent5 4 6 2" xfId="6609" xr:uid="{00000000-0005-0000-0000-00000C030000}"/>
    <cellStyle name="20% - Accent5 4 6 2 2" xfId="15891" xr:uid="{3E940486-8B14-41A6-A205-856A8BCA84A3}"/>
    <cellStyle name="20% - Accent5 4 6 3" xfId="11674" xr:uid="{7F85444A-719B-4A94-BE86-C6230857C3F9}"/>
    <cellStyle name="20% - Accent5 4 7" xfId="4543" xr:uid="{00000000-0005-0000-0000-00000D030000}"/>
    <cellStyle name="20% - Accent5 4 7 2" xfId="13825" xr:uid="{038EFC6C-B3DB-475C-BD69-26F1625EA834}"/>
    <cellStyle name="20% - Accent5 4 8" xfId="9608" xr:uid="{0EE7DF96-ED46-4472-94C8-12CFB7F13878}"/>
    <cellStyle name="20% - Accent5 4 9" xfId="8775" xr:uid="{D75BA988-8C6C-4CAE-881F-F54762BD9109}"/>
    <cellStyle name="20% - Accent5 5" xfId="602" xr:uid="{00000000-0005-0000-0000-00000E030000}"/>
    <cellStyle name="20% - Accent5 5 2" xfId="2873" xr:uid="{00000000-0005-0000-0000-00000F030000}"/>
    <cellStyle name="20% - Accent5 5 2 2" xfId="7095" xr:uid="{00000000-0005-0000-0000-000010030000}"/>
    <cellStyle name="20% - Accent5 5 2 2 2" xfId="16377" xr:uid="{B81F21C6-1022-4086-8065-B027317FD537}"/>
    <cellStyle name="20% - Accent5 5 2 3" xfId="12160" xr:uid="{5E85A0A4-C7A0-44CE-85C0-927D3C19D44E}"/>
    <cellStyle name="20% - Accent5 5 3" xfId="4950" xr:uid="{00000000-0005-0000-0000-000011030000}"/>
    <cellStyle name="20% - Accent5 5 3 2" xfId="14232" xr:uid="{6EB594D9-444F-4293-BD7C-1D6E92BEE520}"/>
    <cellStyle name="20% - Accent5 5 4" xfId="10015" xr:uid="{026DB538-03F7-463A-87BB-4BB51B460821}"/>
    <cellStyle name="20% - Accent5 5 5" xfId="9185" xr:uid="{6D32B41E-71DA-47CA-B634-1CF45AA43745}"/>
    <cellStyle name="20% - Accent5 6" xfId="1055" xr:uid="{00000000-0005-0000-0000-000012030000}"/>
    <cellStyle name="20% - Accent5 6 2" xfId="3286" xr:uid="{00000000-0005-0000-0000-000013030000}"/>
    <cellStyle name="20% - Accent5 6 2 2" xfId="7508" xr:uid="{00000000-0005-0000-0000-000014030000}"/>
    <cellStyle name="20% - Accent5 6 2 2 2" xfId="16790" xr:uid="{1E902200-97A6-48F0-AB22-048D9E61129B}"/>
    <cellStyle name="20% - Accent5 6 2 3" xfId="12573" xr:uid="{65C3C4D0-1871-4636-ACC5-BE0AFB91E8E0}"/>
    <cellStyle name="20% - Accent5 6 3" xfId="5363" xr:uid="{00000000-0005-0000-0000-000015030000}"/>
    <cellStyle name="20% - Accent5 6 3 2" xfId="14645" xr:uid="{1B043F8C-75F0-4B99-95B9-FC04A401309B}"/>
    <cellStyle name="20% - Accent5 6 4" xfId="10428" xr:uid="{16B11688-C186-4816-8585-83895A04F459}"/>
    <cellStyle name="20% - Accent5 7" xfId="1469" xr:uid="{00000000-0005-0000-0000-000016030000}"/>
    <cellStyle name="20% - Accent5 7 2" xfId="3699" xr:uid="{00000000-0005-0000-0000-000017030000}"/>
    <cellStyle name="20% - Accent5 7 2 2" xfId="7921" xr:uid="{00000000-0005-0000-0000-000018030000}"/>
    <cellStyle name="20% - Accent5 7 2 2 2" xfId="17203" xr:uid="{6133E601-58F2-4392-AE79-209F21AF8011}"/>
    <cellStyle name="20% - Accent5 7 2 3" xfId="12986" xr:uid="{D253F2A0-1DE8-4DB5-8D9F-F08363546A12}"/>
    <cellStyle name="20% - Accent5 7 3" xfId="5776" xr:uid="{00000000-0005-0000-0000-000019030000}"/>
    <cellStyle name="20% - Accent5 7 3 2" xfId="15058" xr:uid="{C62D5EB3-0F04-4D80-9C39-14058794D159}"/>
    <cellStyle name="20% - Accent5 7 4" xfId="10841" xr:uid="{E2070DB8-89FC-4FBA-B427-B6F922FBE4C3}"/>
    <cellStyle name="20% - Accent5 8" xfId="1883" xr:uid="{00000000-0005-0000-0000-00001A030000}"/>
    <cellStyle name="20% - Accent5 8 2" xfId="4112" xr:uid="{00000000-0005-0000-0000-00001B030000}"/>
    <cellStyle name="20% - Accent5 8 2 2" xfId="8334" xr:uid="{00000000-0005-0000-0000-00001C030000}"/>
    <cellStyle name="20% - Accent5 8 2 2 2" xfId="17616" xr:uid="{A0A43299-C81B-4108-A1C5-0F9A4CF57B93}"/>
    <cellStyle name="20% - Accent5 8 2 3" xfId="13399" xr:uid="{419729E7-B105-4C71-AD9C-F84C54D6A891}"/>
    <cellStyle name="20% - Accent5 8 3" xfId="6189" xr:uid="{00000000-0005-0000-0000-00001D030000}"/>
    <cellStyle name="20% - Accent5 8 3 2" xfId="15471" xr:uid="{2D3F07F1-5712-4792-9493-74CBC8A38507}"/>
    <cellStyle name="20% - Accent5 8 4" xfId="11254" xr:uid="{F33F7754-8E92-4630-AD9D-64B5279AED24}"/>
    <cellStyle name="20% - Accent5 9" xfId="2296" xr:uid="{00000000-0005-0000-0000-00001E030000}"/>
    <cellStyle name="20% - Accent5 9 2" xfId="6602" xr:uid="{00000000-0005-0000-0000-00001F030000}"/>
    <cellStyle name="20% - Accent5 9 2 2" xfId="15884" xr:uid="{62D54E1E-85A0-42A1-A35E-B46F259C98D8}"/>
    <cellStyle name="20% - Accent5 9 3" xfId="11667" xr:uid="{16ADABFD-B600-4E02-8C79-2BD404691A4F}"/>
    <cellStyle name="20% - Accent6" xfId="41" builtinId="50" customBuiltin="1"/>
    <cellStyle name="20% - Accent6 10" xfId="4544" xr:uid="{00000000-0005-0000-0000-000021030000}"/>
    <cellStyle name="20% - Accent6 10 2" xfId="13826" xr:uid="{533702E6-B9FC-43A0-8B0A-2777D4EB0313}"/>
    <cellStyle name="20% - Accent6 11" xfId="9609" xr:uid="{B7E14FA4-E1DA-4B15-B8FA-393ADB5D84F4}"/>
    <cellStyle name="20% - Accent6 12" xfId="8776" xr:uid="{5C5F407B-11A2-41F1-A6A7-2A8CDDE9BF9B}"/>
    <cellStyle name="20% - Accent6 2" xfId="42" xr:uid="{00000000-0005-0000-0000-000022030000}"/>
    <cellStyle name="20% - Accent6 2 10" xfId="9610" xr:uid="{6FE5E051-6919-4FA6-9F8D-E36283554CED}"/>
    <cellStyle name="20% - Accent6 2 11" xfId="8777" xr:uid="{B60BE5A5-7C5E-4463-AB6E-7C75FA758EC0}"/>
    <cellStyle name="20% - Accent6 2 2" xfId="43" xr:uid="{00000000-0005-0000-0000-000023030000}"/>
    <cellStyle name="20% - Accent6 2 2 10" xfId="8778" xr:uid="{F41089A6-DC7A-4238-92B9-4A458A6BDD71}"/>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388" xr:uid="{3A5AAD88-C59A-4D26-92BF-CC5EBE022639}"/>
    <cellStyle name="20% - Accent6 2 2 2 2 2 3" xfId="12171" xr:uid="{23D97460-1825-4740-8B5A-B92690B2691A}"/>
    <cellStyle name="20% - Accent6 2 2 2 2 3" xfId="4961" xr:uid="{00000000-0005-0000-0000-000028030000}"/>
    <cellStyle name="20% - Accent6 2 2 2 2 3 2" xfId="14243" xr:uid="{FABDF2A7-E47B-4CAF-9C6B-1CC8D52207F9}"/>
    <cellStyle name="20% - Accent6 2 2 2 2 4" xfId="10026" xr:uid="{50EA1C9E-4872-4A8B-8DF2-57E2E7A74AE8}"/>
    <cellStyle name="20% - Accent6 2 2 2 2 5" xfId="9196" xr:uid="{D4833279-9775-48F8-B2E3-621A51FF28A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01" xr:uid="{10B2F552-F98A-44BF-82C0-933DFA7E8F4B}"/>
    <cellStyle name="20% - Accent6 2 2 2 3 2 3" xfId="12584" xr:uid="{137BBC36-B905-40BC-80D7-D4E37A67DD6B}"/>
    <cellStyle name="20% - Accent6 2 2 2 3 3" xfId="5374" xr:uid="{00000000-0005-0000-0000-00002C030000}"/>
    <cellStyle name="20% - Accent6 2 2 2 3 3 2" xfId="14656" xr:uid="{920F9955-28D6-4339-8C28-920FE875408D}"/>
    <cellStyle name="20% - Accent6 2 2 2 3 4" xfId="10439" xr:uid="{CB77FA49-AA11-4FE4-ADFB-B866FA4BEAB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14" xr:uid="{4B58EF8C-6A39-445A-9956-E57DE9D93D3B}"/>
    <cellStyle name="20% - Accent6 2 2 2 4 2 3" xfId="12997" xr:uid="{7240EBFF-11E9-4BFB-A7FD-AF96A1AFDA83}"/>
    <cellStyle name="20% - Accent6 2 2 2 4 3" xfId="5787" xr:uid="{00000000-0005-0000-0000-000030030000}"/>
    <cellStyle name="20% - Accent6 2 2 2 4 3 2" xfId="15069" xr:uid="{0B0E2F23-45C6-456E-BDF0-B49E66921920}"/>
    <cellStyle name="20% - Accent6 2 2 2 4 4" xfId="10852" xr:uid="{57ECE48A-2F89-4B95-AC1F-724976C5C19B}"/>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27" xr:uid="{DA7B95C8-4F58-4A6B-9F5C-F971FE23311D}"/>
    <cellStyle name="20% - Accent6 2 2 2 5 2 3" xfId="13410" xr:uid="{F6603621-38AD-49AE-ACA3-0BB54B3AFBB0}"/>
    <cellStyle name="20% - Accent6 2 2 2 5 3" xfId="6200" xr:uid="{00000000-0005-0000-0000-000034030000}"/>
    <cellStyle name="20% - Accent6 2 2 2 5 3 2" xfId="15482" xr:uid="{82890E54-F7BD-44DC-B40A-2A3E36EE903F}"/>
    <cellStyle name="20% - Accent6 2 2 2 5 4" xfId="11265" xr:uid="{0625DAF3-30F4-40E8-AC86-20CD1838F4AE}"/>
    <cellStyle name="20% - Accent6 2 2 2 6" xfId="2307" xr:uid="{00000000-0005-0000-0000-000035030000}"/>
    <cellStyle name="20% - Accent6 2 2 2 6 2" xfId="6613" xr:uid="{00000000-0005-0000-0000-000036030000}"/>
    <cellStyle name="20% - Accent6 2 2 2 6 2 2" xfId="15895" xr:uid="{00030E33-A74C-480E-9A07-3383B36358C8}"/>
    <cellStyle name="20% - Accent6 2 2 2 6 3" xfId="11678" xr:uid="{39B0853B-EF17-47F8-B2CB-A20962CF039A}"/>
    <cellStyle name="20% - Accent6 2 2 2 7" xfId="4547" xr:uid="{00000000-0005-0000-0000-000037030000}"/>
    <cellStyle name="20% - Accent6 2 2 2 7 2" xfId="13829" xr:uid="{CF422153-940A-407D-AFC6-2DB50681F786}"/>
    <cellStyle name="20% - Accent6 2 2 2 8" xfId="9612" xr:uid="{F62CC18B-3D01-4F75-BF92-B51BFBC14B83}"/>
    <cellStyle name="20% - Accent6 2 2 2 9" xfId="8779" xr:uid="{9E2D3BA8-C76F-41E4-B9D0-76916E1B44DA}"/>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387" xr:uid="{79DE3999-3D7E-4973-8808-5C976DC03FBF}"/>
    <cellStyle name="20% - Accent6 2 2 3 2 3" xfId="12170" xr:uid="{160FF12C-B7F2-4754-91E8-1C420C3595F8}"/>
    <cellStyle name="20% - Accent6 2 2 3 3" xfId="4960" xr:uid="{00000000-0005-0000-0000-00003B030000}"/>
    <cellStyle name="20% - Accent6 2 2 3 3 2" xfId="14242" xr:uid="{EF17E4A4-586A-46B7-8714-66A5BC80C669}"/>
    <cellStyle name="20% - Accent6 2 2 3 4" xfId="10025" xr:uid="{6D869BAF-EA1B-447A-A94D-EA96A4F99B5C}"/>
    <cellStyle name="20% - Accent6 2 2 3 5" xfId="9195" xr:uid="{654E448B-353B-41CF-B994-8415B59E028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00" xr:uid="{0E749FD2-CAE1-45A3-B81E-2B6B01D14C23}"/>
    <cellStyle name="20% - Accent6 2 2 4 2 3" xfId="12583" xr:uid="{51DA5AE0-0738-40B8-84B0-84A9282CB39B}"/>
    <cellStyle name="20% - Accent6 2 2 4 3" xfId="5373" xr:uid="{00000000-0005-0000-0000-00003F030000}"/>
    <cellStyle name="20% - Accent6 2 2 4 3 2" xfId="14655" xr:uid="{F28EEE7E-CCC2-48F5-8203-57DD5A61A75D}"/>
    <cellStyle name="20% - Accent6 2 2 4 4" xfId="10438" xr:uid="{FB4B768C-A06E-4A26-878C-24B8916339A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13" xr:uid="{BDCD93C2-721E-46CA-8957-D402CF8D244E}"/>
    <cellStyle name="20% - Accent6 2 2 5 2 3" xfId="12996" xr:uid="{CA38EC43-886B-43BC-A8C7-11EDD9E07B9A}"/>
    <cellStyle name="20% - Accent6 2 2 5 3" xfId="5786" xr:uid="{00000000-0005-0000-0000-000043030000}"/>
    <cellStyle name="20% - Accent6 2 2 5 3 2" xfId="15068" xr:uid="{7D2BD847-D3C4-4282-9B99-3BF225213704}"/>
    <cellStyle name="20% - Accent6 2 2 5 4" xfId="10851" xr:uid="{D0BDC1F7-3323-4604-847E-20AEA8C5E028}"/>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26" xr:uid="{63A20906-EDA6-4A62-AC12-C955F9C3A92E}"/>
    <cellStyle name="20% - Accent6 2 2 6 2 3" xfId="13409" xr:uid="{DCE1C484-D6E2-4EE8-BB2D-698ECF4125B5}"/>
    <cellStyle name="20% - Accent6 2 2 6 3" xfId="6199" xr:uid="{00000000-0005-0000-0000-000047030000}"/>
    <cellStyle name="20% - Accent6 2 2 6 3 2" xfId="15481" xr:uid="{2B950836-28E6-40C3-9CFA-2A320D19BE95}"/>
    <cellStyle name="20% - Accent6 2 2 6 4" xfId="11264" xr:uid="{30FB8B1E-DFD9-4DD5-92E5-E565BADE394C}"/>
    <cellStyle name="20% - Accent6 2 2 7" xfId="2306" xr:uid="{00000000-0005-0000-0000-000048030000}"/>
    <cellStyle name="20% - Accent6 2 2 7 2" xfId="6612" xr:uid="{00000000-0005-0000-0000-000049030000}"/>
    <cellStyle name="20% - Accent6 2 2 7 2 2" xfId="15894" xr:uid="{0DB7CD2A-A412-4407-8147-1FE1689F159F}"/>
    <cellStyle name="20% - Accent6 2 2 7 3" xfId="11677" xr:uid="{C9D22B8D-0114-4C45-8447-2A8CDE3346A6}"/>
    <cellStyle name="20% - Accent6 2 2 8" xfId="4546" xr:uid="{00000000-0005-0000-0000-00004A030000}"/>
    <cellStyle name="20% - Accent6 2 2 8 2" xfId="13828" xr:uid="{770CC14D-6D7A-4D8D-AF9B-7EE568B49DD0}"/>
    <cellStyle name="20% - Accent6 2 2 9" xfId="9611" xr:uid="{9ED2FAF1-97E8-4354-8F20-4AB9551073C5}"/>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389" xr:uid="{583C137E-9744-47CF-8BF5-FB5AF917B2EE}"/>
    <cellStyle name="20% - Accent6 2 3 2 2 3" xfId="12172" xr:uid="{77974569-47C3-410E-AE93-6B5DBCA3ADD3}"/>
    <cellStyle name="20% - Accent6 2 3 2 3" xfId="4962" xr:uid="{00000000-0005-0000-0000-00004F030000}"/>
    <cellStyle name="20% - Accent6 2 3 2 3 2" xfId="14244" xr:uid="{E5EF6910-14F3-4862-BD51-0DA6F5E2FC2F}"/>
    <cellStyle name="20% - Accent6 2 3 2 4" xfId="10027" xr:uid="{EF05A575-2BFC-4790-9C64-2A06E5DC06D7}"/>
    <cellStyle name="20% - Accent6 2 3 2 5" xfId="9197" xr:uid="{42DC3265-DA4F-41F5-804D-BB4028C8E84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02" xr:uid="{012A3324-C628-41CF-B9D9-F6593F3F1AE1}"/>
    <cellStyle name="20% - Accent6 2 3 3 2 3" xfId="12585" xr:uid="{A83DDF40-3EF0-4B6E-BEA1-CE9D7C1AE287}"/>
    <cellStyle name="20% - Accent6 2 3 3 3" xfId="5375" xr:uid="{00000000-0005-0000-0000-000053030000}"/>
    <cellStyle name="20% - Accent6 2 3 3 3 2" xfId="14657" xr:uid="{A0B44357-12E6-4562-85A1-A8C56F8AA6A6}"/>
    <cellStyle name="20% - Accent6 2 3 3 4" xfId="10440" xr:uid="{649E7C3A-BE04-42BD-BF7B-BBD86B45998C}"/>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15" xr:uid="{F6DB3325-FA9A-4FE9-B582-0F2B205897EE}"/>
    <cellStyle name="20% - Accent6 2 3 4 2 3" xfId="12998" xr:uid="{09456DCB-C785-48DA-98EE-C513264144CA}"/>
    <cellStyle name="20% - Accent6 2 3 4 3" xfId="5788" xr:uid="{00000000-0005-0000-0000-000057030000}"/>
    <cellStyle name="20% - Accent6 2 3 4 3 2" xfId="15070" xr:uid="{1A99B583-CC3E-4EE7-8E73-CBF77D18DE43}"/>
    <cellStyle name="20% - Accent6 2 3 4 4" xfId="10853" xr:uid="{8F2A97E3-118F-4A56-84F3-F6BBDEBF9EFC}"/>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28" xr:uid="{7EB39D96-0A21-4F17-92BA-81C61E1F9515}"/>
    <cellStyle name="20% - Accent6 2 3 5 2 3" xfId="13411" xr:uid="{DEDB2955-68FB-442B-BDC3-19B7197F3251}"/>
    <cellStyle name="20% - Accent6 2 3 5 3" xfId="6201" xr:uid="{00000000-0005-0000-0000-00005B030000}"/>
    <cellStyle name="20% - Accent6 2 3 5 3 2" xfId="15483" xr:uid="{5A3F8034-5E80-4FF8-B1AA-A81207AA0378}"/>
    <cellStyle name="20% - Accent6 2 3 5 4" xfId="11266" xr:uid="{27C2D40F-7137-4732-9EF1-16520C7B6A20}"/>
    <cellStyle name="20% - Accent6 2 3 6" xfId="2308" xr:uid="{00000000-0005-0000-0000-00005C030000}"/>
    <cellStyle name="20% - Accent6 2 3 6 2" xfId="6614" xr:uid="{00000000-0005-0000-0000-00005D030000}"/>
    <cellStyle name="20% - Accent6 2 3 6 2 2" xfId="15896" xr:uid="{ACF48356-8765-4D4A-8330-0374732E7153}"/>
    <cellStyle name="20% - Accent6 2 3 6 3" xfId="11679" xr:uid="{12831E24-2CED-489C-90C9-C7116698AAF0}"/>
    <cellStyle name="20% - Accent6 2 3 7" xfId="4548" xr:uid="{00000000-0005-0000-0000-00005E030000}"/>
    <cellStyle name="20% - Accent6 2 3 7 2" xfId="13830" xr:uid="{6AD8A056-F25E-4929-8B32-9434D5BA9B56}"/>
    <cellStyle name="20% - Accent6 2 3 8" xfId="9613" xr:uid="{B0E7459A-3FE7-4B50-8C7B-2CB29F5F7948}"/>
    <cellStyle name="20% - Accent6 2 3 9" xfId="8780" xr:uid="{AF748856-E233-4626-B980-7DF1A353ADCA}"/>
    <cellStyle name="20% - Accent6 2 4" xfId="611" xr:uid="{00000000-0005-0000-0000-00005F030000}"/>
    <cellStyle name="20% - Accent6 2 4 2" xfId="2882" xr:uid="{00000000-0005-0000-0000-000060030000}"/>
    <cellStyle name="20% - Accent6 2 4 2 2" xfId="7104" xr:uid="{00000000-0005-0000-0000-000061030000}"/>
    <cellStyle name="20% - Accent6 2 4 2 2 2" xfId="16386" xr:uid="{2172BE35-B4C0-4167-BDC3-32A42D188A27}"/>
    <cellStyle name="20% - Accent6 2 4 2 3" xfId="12169" xr:uid="{6E691A09-2B2D-4EDE-83A7-0F0F5687DD54}"/>
    <cellStyle name="20% - Accent6 2 4 3" xfId="4959" xr:uid="{00000000-0005-0000-0000-000062030000}"/>
    <cellStyle name="20% - Accent6 2 4 3 2" xfId="14241" xr:uid="{495797BE-451D-4309-9964-A6544E045412}"/>
    <cellStyle name="20% - Accent6 2 4 4" xfId="10024" xr:uid="{BCB0285B-6E09-4830-89C7-41497376588E}"/>
    <cellStyle name="20% - Accent6 2 4 5" xfId="9194" xr:uid="{6CBED888-DA50-42C1-B725-2E9279E462FA}"/>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799" xr:uid="{A8683A25-B207-448F-9765-D4AE9C54564E}"/>
    <cellStyle name="20% - Accent6 2 5 2 3" xfId="12582" xr:uid="{B563EB51-C5DE-4744-B0BF-3E223E201283}"/>
    <cellStyle name="20% - Accent6 2 5 3" xfId="5372" xr:uid="{00000000-0005-0000-0000-000066030000}"/>
    <cellStyle name="20% - Accent6 2 5 3 2" xfId="14654" xr:uid="{837EE7CC-DA78-4D45-BD25-C9197141470E}"/>
    <cellStyle name="20% - Accent6 2 5 4" xfId="10437" xr:uid="{5799D1A0-0186-4112-A8D7-36D8537600DE}"/>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12" xr:uid="{152D5406-7372-4BC8-8CB9-4C58DD2D039E}"/>
    <cellStyle name="20% - Accent6 2 6 2 3" xfId="12995" xr:uid="{A130FDAB-D47A-4597-966F-18CF1BEEE875}"/>
    <cellStyle name="20% - Accent6 2 6 3" xfId="5785" xr:uid="{00000000-0005-0000-0000-00006A030000}"/>
    <cellStyle name="20% - Accent6 2 6 3 2" xfId="15067" xr:uid="{6E4869AA-2BFB-4D9A-A9F2-D186C7A899E1}"/>
    <cellStyle name="20% - Accent6 2 6 4" xfId="10850" xr:uid="{8C2522B2-9241-4A74-9D3E-CF486A0E639E}"/>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25" xr:uid="{624812E5-18DC-4948-AAB7-B75E12CF8AA8}"/>
    <cellStyle name="20% - Accent6 2 7 2 3" xfId="13408" xr:uid="{C27AECC8-DC0D-4A57-BA50-45E40975DD53}"/>
    <cellStyle name="20% - Accent6 2 7 3" xfId="6198" xr:uid="{00000000-0005-0000-0000-00006E030000}"/>
    <cellStyle name="20% - Accent6 2 7 3 2" xfId="15480" xr:uid="{AE81DEB5-6964-4F7A-B5DA-81073C6C6EDD}"/>
    <cellStyle name="20% - Accent6 2 7 4" xfId="11263" xr:uid="{A5E5D5F6-7579-4DC6-97C2-A917A8132B77}"/>
    <cellStyle name="20% - Accent6 2 8" xfId="2305" xr:uid="{00000000-0005-0000-0000-00006F030000}"/>
    <cellStyle name="20% - Accent6 2 8 2" xfId="6611" xr:uid="{00000000-0005-0000-0000-000070030000}"/>
    <cellStyle name="20% - Accent6 2 8 2 2" xfId="15893" xr:uid="{432FB45A-A0FC-4F28-B73C-C9A5B4C87AD9}"/>
    <cellStyle name="20% - Accent6 2 8 3" xfId="11676" xr:uid="{7C715877-BECF-4003-B8EB-27E16B7DF6DF}"/>
    <cellStyle name="20% - Accent6 2 9" xfId="4545" xr:uid="{00000000-0005-0000-0000-000071030000}"/>
    <cellStyle name="20% - Accent6 2 9 2" xfId="13827" xr:uid="{1F15EC37-8A7D-4195-98A5-52191A934FE4}"/>
    <cellStyle name="20% - Accent6 3" xfId="46" xr:uid="{00000000-0005-0000-0000-000072030000}"/>
    <cellStyle name="20% - Accent6 3 10" xfId="8781" xr:uid="{53DB4061-AC76-417A-BC85-86B6BF6DC802}"/>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391" xr:uid="{B3499A2B-C15C-4E9B-83D3-50FE5B855D62}"/>
    <cellStyle name="20% - Accent6 3 2 2 2 3" xfId="12174" xr:uid="{6E6540BC-5CE4-44F7-BFBB-A7C757B3FA31}"/>
    <cellStyle name="20% - Accent6 3 2 2 3" xfId="4964" xr:uid="{00000000-0005-0000-0000-000077030000}"/>
    <cellStyle name="20% - Accent6 3 2 2 3 2" xfId="14246" xr:uid="{E06A09BA-E814-4122-B19D-3D11433FEEF0}"/>
    <cellStyle name="20% - Accent6 3 2 2 4" xfId="10029" xr:uid="{0B8DF9E3-C923-4D63-9DAC-D1D33C0DA56A}"/>
    <cellStyle name="20% - Accent6 3 2 2 5" xfId="9199" xr:uid="{9547D31D-1258-48F0-BE92-9C432C5BF4E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04" xr:uid="{C3D868B6-3AE2-4FD6-86A9-1B7F67EE8146}"/>
    <cellStyle name="20% - Accent6 3 2 3 2 3" xfId="12587" xr:uid="{4A3C9748-AF31-48BC-8A51-132D01712C44}"/>
    <cellStyle name="20% - Accent6 3 2 3 3" xfId="5377" xr:uid="{00000000-0005-0000-0000-00007B030000}"/>
    <cellStyle name="20% - Accent6 3 2 3 3 2" xfId="14659" xr:uid="{CCB90FC7-FE14-415B-A5FF-1E28B34353BA}"/>
    <cellStyle name="20% - Accent6 3 2 3 4" xfId="10442" xr:uid="{A5D3F7D2-9EBB-4329-8803-64D4771C129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17" xr:uid="{072C018B-244C-46F6-A7B9-9DCA794078D7}"/>
    <cellStyle name="20% - Accent6 3 2 4 2 3" xfId="13000" xr:uid="{E0074A37-3DB3-4C61-B8C9-4BBB10A89298}"/>
    <cellStyle name="20% - Accent6 3 2 4 3" xfId="5790" xr:uid="{00000000-0005-0000-0000-00007F030000}"/>
    <cellStyle name="20% - Accent6 3 2 4 3 2" xfId="15072" xr:uid="{44300C79-41E8-4E12-B346-597BA5DB004A}"/>
    <cellStyle name="20% - Accent6 3 2 4 4" xfId="10855" xr:uid="{A9613305-4CD6-4777-B2CF-F741E192962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30" xr:uid="{AD8170BC-9E36-4242-A614-E1C7C3E18A8B}"/>
    <cellStyle name="20% - Accent6 3 2 5 2 3" xfId="13413" xr:uid="{F1B28835-6FFC-44BE-B756-F7E127A8C73E}"/>
    <cellStyle name="20% - Accent6 3 2 5 3" xfId="6203" xr:uid="{00000000-0005-0000-0000-000083030000}"/>
    <cellStyle name="20% - Accent6 3 2 5 3 2" xfId="15485" xr:uid="{9E91B843-A049-4E95-BF1C-E0DE210FFA52}"/>
    <cellStyle name="20% - Accent6 3 2 5 4" xfId="11268" xr:uid="{6658DAE9-83DB-410D-9B0F-22AF57F2F8E4}"/>
    <cellStyle name="20% - Accent6 3 2 6" xfId="2310" xr:uid="{00000000-0005-0000-0000-000084030000}"/>
    <cellStyle name="20% - Accent6 3 2 6 2" xfId="6616" xr:uid="{00000000-0005-0000-0000-000085030000}"/>
    <cellStyle name="20% - Accent6 3 2 6 2 2" xfId="15898" xr:uid="{989CBA21-DE0F-427B-B8DE-76AAED3AC31D}"/>
    <cellStyle name="20% - Accent6 3 2 6 3" xfId="11681" xr:uid="{9F537FDD-1B28-4717-B019-2082B384BAB3}"/>
    <cellStyle name="20% - Accent6 3 2 7" xfId="4550" xr:uid="{00000000-0005-0000-0000-000086030000}"/>
    <cellStyle name="20% - Accent6 3 2 7 2" xfId="13832" xr:uid="{0BF7F6F9-1C3A-42C1-A3A8-FBBD569B5C72}"/>
    <cellStyle name="20% - Accent6 3 2 8" xfId="9615" xr:uid="{7E437033-5BA6-44F4-A777-9C08B7EB0EA7}"/>
    <cellStyle name="20% - Accent6 3 2 9" xfId="8782" xr:uid="{D26A2719-3F1E-497B-987C-B66733A63F21}"/>
    <cellStyle name="20% - Accent6 3 3" xfId="615" xr:uid="{00000000-0005-0000-0000-000087030000}"/>
    <cellStyle name="20% - Accent6 3 3 2" xfId="2886" xr:uid="{00000000-0005-0000-0000-000088030000}"/>
    <cellStyle name="20% - Accent6 3 3 2 2" xfId="7108" xr:uid="{00000000-0005-0000-0000-000089030000}"/>
    <cellStyle name="20% - Accent6 3 3 2 2 2" xfId="16390" xr:uid="{E06C9BFB-8554-4C91-99E3-1A53C6D502C9}"/>
    <cellStyle name="20% - Accent6 3 3 2 3" xfId="12173" xr:uid="{C2DB9644-8262-4C73-8C72-4D6114D86510}"/>
    <cellStyle name="20% - Accent6 3 3 3" xfId="4963" xr:uid="{00000000-0005-0000-0000-00008A030000}"/>
    <cellStyle name="20% - Accent6 3 3 3 2" xfId="14245" xr:uid="{A1B22163-6B91-4AC3-ABF1-FDAC72B5D55D}"/>
    <cellStyle name="20% - Accent6 3 3 4" xfId="10028" xr:uid="{ED075BD5-C738-4F75-B898-DACC6A879CFB}"/>
    <cellStyle name="20% - Accent6 3 3 5" xfId="9198" xr:uid="{648E2DA7-C766-4DAC-A2FA-AD5048BCBD9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03" xr:uid="{03EDBDCB-D2E4-4424-9F42-D7EFBAD2B2DB}"/>
    <cellStyle name="20% - Accent6 3 4 2 3" xfId="12586" xr:uid="{98F2E8E5-EEA6-4F16-AF43-03D52410A4A1}"/>
    <cellStyle name="20% - Accent6 3 4 3" xfId="5376" xr:uid="{00000000-0005-0000-0000-00008E030000}"/>
    <cellStyle name="20% - Accent6 3 4 3 2" xfId="14658" xr:uid="{9609F560-DFAE-41DA-A1A3-70AC06810ED4}"/>
    <cellStyle name="20% - Accent6 3 4 4" xfId="10441" xr:uid="{196BBFAB-A4E7-461E-9CD7-9D395C820139}"/>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16" xr:uid="{E48250B7-DDC1-4E91-9433-CD220A132DF2}"/>
    <cellStyle name="20% - Accent6 3 5 2 3" xfId="12999" xr:uid="{192303C6-0D6A-4B9D-8B55-2991ECACAEC9}"/>
    <cellStyle name="20% - Accent6 3 5 3" xfId="5789" xr:uid="{00000000-0005-0000-0000-000092030000}"/>
    <cellStyle name="20% - Accent6 3 5 3 2" xfId="15071" xr:uid="{0D83C5BC-6458-4685-8A09-D6AF55E66D13}"/>
    <cellStyle name="20% - Accent6 3 5 4" xfId="10854" xr:uid="{F8B07676-A9B6-423B-A405-8E46EAC770A1}"/>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29" xr:uid="{BFC5CF1E-C6BB-4546-AAF5-7C1959C8B550}"/>
    <cellStyle name="20% - Accent6 3 6 2 3" xfId="13412" xr:uid="{77F02F7D-F9FF-4CE0-8218-CDBF45CD7674}"/>
    <cellStyle name="20% - Accent6 3 6 3" xfId="6202" xr:uid="{00000000-0005-0000-0000-000096030000}"/>
    <cellStyle name="20% - Accent6 3 6 3 2" xfId="15484" xr:uid="{4C08E601-DF1A-493C-9896-117FB657B15A}"/>
    <cellStyle name="20% - Accent6 3 6 4" xfId="11267" xr:uid="{A34DB891-9F48-4E75-9388-876E2B9198F1}"/>
    <cellStyle name="20% - Accent6 3 7" xfId="2309" xr:uid="{00000000-0005-0000-0000-000097030000}"/>
    <cellStyle name="20% - Accent6 3 7 2" xfId="6615" xr:uid="{00000000-0005-0000-0000-000098030000}"/>
    <cellStyle name="20% - Accent6 3 7 2 2" xfId="15897" xr:uid="{8BC67BF3-41D0-4F95-A3D1-577D9F7D0E24}"/>
    <cellStyle name="20% - Accent6 3 7 3" xfId="11680" xr:uid="{2104D329-3597-4650-95CF-7B69DAF3CADC}"/>
    <cellStyle name="20% - Accent6 3 8" xfId="4549" xr:uid="{00000000-0005-0000-0000-000099030000}"/>
    <cellStyle name="20% - Accent6 3 8 2" xfId="13831" xr:uid="{59B4AF36-D945-43EB-9DFD-EAA999737192}"/>
    <cellStyle name="20% - Accent6 3 9" xfId="9614" xr:uid="{C7544DB2-9822-4B06-91D1-0B54AB4BAE6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392" xr:uid="{AF5E9EEC-D4EB-470D-8CE7-7482E42F4CCC}"/>
    <cellStyle name="20% - Accent6 4 2 2 3" xfId="12175" xr:uid="{19D2EAF0-C7FE-4C04-91BD-DEA0C65CB213}"/>
    <cellStyle name="20% - Accent6 4 2 3" xfId="4965" xr:uid="{00000000-0005-0000-0000-00009E030000}"/>
    <cellStyle name="20% - Accent6 4 2 3 2" xfId="14247" xr:uid="{10C9D86B-5524-4DF7-A428-D60DE2C0AD6E}"/>
    <cellStyle name="20% - Accent6 4 2 4" xfId="10030" xr:uid="{2BE98250-221A-47EF-A2F8-5D1E2D04EEDD}"/>
    <cellStyle name="20% - Accent6 4 2 5" xfId="9200" xr:uid="{7CF5EF1A-439D-4A5A-AC46-48A746D7352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05" xr:uid="{A25C03F5-D019-4090-818D-611445AC0CBC}"/>
    <cellStyle name="20% - Accent6 4 3 2 3" xfId="12588" xr:uid="{B3F764E0-483C-42EB-BBC6-D20CC7185829}"/>
    <cellStyle name="20% - Accent6 4 3 3" xfId="5378" xr:uid="{00000000-0005-0000-0000-0000A2030000}"/>
    <cellStyle name="20% - Accent6 4 3 3 2" xfId="14660" xr:uid="{C9B5B6C5-81C7-43E9-B714-4049A4E562CD}"/>
    <cellStyle name="20% - Accent6 4 3 4" xfId="10443" xr:uid="{B3B7BB5C-0615-4648-8074-F79D01A4B949}"/>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18" xr:uid="{76B70D6E-7BF5-4FED-9187-C1E5EADE85D6}"/>
    <cellStyle name="20% - Accent6 4 4 2 3" xfId="13001" xr:uid="{E8B53340-902B-4109-A328-CA468ABC3821}"/>
    <cellStyle name="20% - Accent6 4 4 3" xfId="5791" xr:uid="{00000000-0005-0000-0000-0000A6030000}"/>
    <cellStyle name="20% - Accent6 4 4 3 2" xfId="15073" xr:uid="{DA26F03D-108E-4EDF-B762-60F2899D1EE0}"/>
    <cellStyle name="20% - Accent6 4 4 4" xfId="10856" xr:uid="{1A260DEA-0EF0-46DD-9058-1EE62998A89E}"/>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31" xr:uid="{7920DA4C-10D8-4028-870C-62466B0B14FF}"/>
    <cellStyle name="20% - Accent6 4 5 2 3" xfId="13414" xr:uid="{13B21394-848E-4E95-B3EC-0DA29159E3CF}"/>
    <cellStyle name="20% - Accent6 4 5 3" xfId="6204" xr:uid="{00000000-0005-0000-0000-0000AA030000}"/>
    <cellStyle name="20% - Accent6 4 5 3 2" xfId="15486" xr:uid="{7CEECF06-7EF3-461B-AEB3-8B1B57CE5A02}"/>
    <cellStyle name="20% - Accent6 4 5 4" xfId="11269" xr:uid="{79409D5C-0F60-4923-A279-31C3B7CEE831}"/>
    <cellStyle name="20% - Accent6 4 6" xfId="2311" xr:uid="{00000000-0005-0000-0000-0000AB030000}"/>
    <cellStyle name="20% - Accent6 4 6 2" xfId="6617" xr:uid="{00000000-0005-0000-0000-0000AC030000}"/>
    <cellStyle name="20% - Accent6 4 6 2 2" xfId="15899" xr:uid="{7D3E20E5-82F7-44CE-B376-2EDAEF416418}"/>
    <cellStyle name="20% - Accent6 4 6 3" xfId="11682" xr:uid="{7C8237FA-5908-448F-BB7B-F436DD5431BD}"/>
    <cellStyle name="20% - Accent6 4 7" xfId="4551" xr:uid="{00000000-0005-0000-0000-0000AD030000}"/>
    <cellStyle name="20% - Accent6 4 7 2" xfId="13833" xr:uid="{4625B32C-C9DE-4233-94B1-3CAA7D02AD7B}"/>
    <cellStyle name="20% - Accent6 4 8" xfId="9616" xr:uid="{138A0A9B-C621-458B-B235-59C53C7C1379}"/>
    <cellStyle name="20% - Accent6 4 9" xfId="8783" xr:uid="{D2DB5799-3F77-4440-B73C-856FBDD5991A}"/>
    <cellStyle name="20% - Accent6 5" xfId="610" xr:uid="{00000000-0005-0000-0000-0000AE030000}"/>
    <cellStyle name="20% - Accent6 5 2" xfId="2881" xr:uid="{00000000-0005-0000-0000-0000AF030000}"/>
    <cellStyle name="20% - Accent6 5 2 2" xfId="7103" xr:uid="{00000000-0005-0000-0000-0000B0030000}"/>
    <cellStyle name="20% - Accent6 5 2 2 2" xfId="16385" xr:uid="{F50B8D23-2615-4E36-AF64-2A04CBD46A66}"/>
    <cellStyle name="20% - Accent6 5 2 3" xfId="12168" xr:uid="{BD39D421-AC0F-4A21-98FD-AABC615B3EB1}"/>
    <cellStyle name="20% - Accent6 5 3" xfId="4958" xr:uid="{00000000-0005-0000-0000-0000B1030000}"/>
    <cellStyle name="20% - Accent6 5 3 2" xfId="14240" xr:uid="{B233FCBD-2019-414C-9B79-FCF7CCB118D5}"/>
    <cellStyle name="20% - Accent6 5 4" xfId="10023" xr:uid="{3BFB4DBB-A98D-40F2-9938-EDFDC7D98F7A}"/>
    <cellStyle name="20% - Accent6 5 5" xfId="9193" xr:uid="{9EC1583F-3ED5-4CE7-87D5-B5BFC58935D1}"/>
    <cellStyle name="20% - Accent6 6" xfId="1063" xr:uid="{00000000-0005-0000-0000-0000B2030000}"/>
    <cellStyle name="20% - Accent6 6 2" xfId="3294" xr:uid="{00000000-0005-0000-0000-0000B3030000}"/>
    <cellStyle name="20% - Accent6 6 2 2" xfId="7516" xr:uid="{00000000-0005-0000-0000-0000B4030000}"/>
    <cellStyle name="20% - Accent6 6 2 2 2" xfId="16798" xr:uid="{F5047E63-ED74-4FEB-8F71-88601C31959A}"/>
    <cellStyle name="20% - Accent6 6 2 3" xfId="12581" xr:uid="{239FDDE5-A223-42C4-9FF8-9988268233A9}"/>
    <cellStyle name="20% - Accent6 6 3" xfId="5371" xr:uid="{00000000-0005-0000-0000-0000B5030000}"/>
    <cellStyle name="20% - Accent6 6 3 2" xfId="14653" xr:uid="{1E3E58DC-4C63-46C7-A4FB-8CA1061CE3BB}"/>
    <cellStyle name="20% - Accent6 6 4" xfId="10436" xr:uid="{84B829EC-9B1F-4A04-A5DB-48CF4D583C3F}"/>
    <cellStyle name="20% - Accent6 7" xfId="1477" xr:uid="{00000000-0005-0000-0000-0000B6030000}"/>
    <cellStyle name="20% - Accent6 7 2" xfId="3707" xr:uid="{00000000-0005-0000-0000-0000B7030000}"/>
    <cellStyle name="20% - Accent6 7 2 2" xfId="7929" xr:uid="{00000000-0005-0000-0000-0000B8030000}"/>
    <cellStyle name="20% - Accent6 7 2 2 2" xfId="17211" xr:uid="{8FB403E7-A183-4752-B466-B91C74A6ABCF}"/>
    <cellStyle name="20% - Accent6 7 2 3" xfId="12994" xr:uid="{DF5EDB55-916E-4936-BE0D-8EF6C85DF889}"/>
    <cellStyle name="20% - Accent6 7 3" xfId="5784" xr:uid="{00000000-0005-0000-0000-0000B9030000}"/>
    <cellStyle name="20% - Accent6 7 3 2" xfId="15066" xr:uid="{8A0B425A-4DB2-404F-AB2F-CF06FF990CF2}"/>
    <cellStyle name="20% - Accent6 7 4" xfId="10849" xr:uid="{665E703B-F3A7-4E7C-95D9-D88E1AFE86AD}"/>
    <cellStyle name="20% - Accent6 8" xfId="1891" xr:uid="{00000000-0005-0000-0000-0000BA030000}"/>
    <cellStyle name="20% - Accent6 8 2" xfId="4120" xr:uid="{00000000-0005-0000-0000-0000BB030000}"/>
    <cellStyle name="20% - Accent6 8 2 2" xfId="8342" xr:uid="{00000000-0005-0000-0000-0000BC030000}"/>
    <cellStyle name="20% - Accent6 8 2 2 2" xfId="17624" xr:uid="{B522B291-0E17-4A4B-967D-12941496E17E}"/>
    <cellStyle name="20% - Accent6 8 2 3" xfId="13407" xr:uid="{81A78AD6-5C34-4D33-BC63-DAAE9526162D}"/>
    <cellStyle name="20% - Accent6 8 3" xfId="6197" xr:uid="{00000000-0005-0000-0000-0000BD030000}"/>
    <cellStyle name="20% - Accent6 8 3 2" xfId="15479" xr:uid="{758E2491-F152-43FC-84C4-46C0209FE84D}"/>
    <cellStyle name="20% - Accent6 8 4" xfId="11262" xr:uid="{BD6F9321-A1F3-4E99-87A4-3D381AE955A6}"/>
    <cellStyle name="20% - Accent6 9" xfId="2304" xr:uid="{00000000-0005-0000-0000-0000BE030000}"/>
    <cellStyle name="20% - Accent6 9 2" xfId="6610" xr:uid="{00000000-0005-0000-0000-0000BF030000}"/>
    <cellStyle name="20% - Accent6 9 2 2" xfId="15892" xr:uid="{181E5055-22A5-4DAB-8642-9C093CBE0054}"/>
    <cellStyle name="20% - Accent6 9 3" xfId="11675" xr:uid="{F45AD459-01F1-42A2-BBF4-099D20F3C113}"/>
    <cellStyle name="40% - Accent1" xfId="49" builtinId="31" customBuiltin="1"/>
    <cellStyle name="40% - Accent1 10" xfId="4552" xr:uid="{00000000-0005-0000-0000-0000C1030000}"/>
    <cellStyle name="40% - Accent1 10 2" xfId="13834" xr:uid="{82CA330B-D8CC-4386-9B0E-1B7DC53B489E}"/>
    <cellStyle name="40% - Accent1 11" xfId="9617" xr:uid="{8DDF1BAE-E49E-4CD1-9ADD-3307BF9DEB9D}"/>
    <cellStyle name="40% - Accent1 12" xfId="8784" xr:uid="{1B77418E-5037-4D81-80F4-1F3CE17C37CF}"/>
    <cellStyle name="40% - Accent1 2" xfId="50" xr:uid="{00000000-0005-0000-0000-0000C2030000}"/>
    <cellStyle name="40% - Accent1 2 10" xfId="9618" xr:uid="{8086F9DB-612F-4251-8D08-8CB56EFFFBC9}"/>
    <cellStyle name="40% - Accent1 2 11" xfId="8785" xr:uid="{904452D7-96C0-4FA7-9684-517958B72889}"/>
    <cellStyle name="40% - Accent1 2 2" xfId="51" xr:uid="{00000000-0005-0000-0000-0000C3030000}"/>
    <cellStyle name="40% - Accent1 2 2 10" xfId="8786" xr:uid="{D9BAB83D-FC5B-47A2-AAD3-EB78DD1871E3}"/>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396" xr:uid="{0F021214-1582-4430-9E44-CAAEF6C3C0D6}"/>
    <cellStyle name="40% - Accent1 2 2 2 2 2 3" xfId="12179" xr:uid="{0DB9D464-0A1E-4D96-BC3D-94B0AD005213}"/>
    <cellStyle name="40% - Accent1 2 2 2 2 3" xfId="4969" xr:uid="{00000000-0005-0000-0000-0000C8030000}"/>
    <cellStyle name="40% - Accent1 2 2 2 2 3 2" xfId="14251" xr:uid="{28C2CB38-4B85-4367-B774-13F005CD517E}"/>
    <cellStyle name="40% - Accent1 2 2 2 2 4" xfId="10034" xr:uid="{B8EC8CD0-4783-4ADE-8918-6B57D15E3C0E}"/>
    <cellStyle name="40% - Accent1 2 2 2 2 5" xfId="9204" xr:uid="{42D6E218-8E15-4B69-BA1A-3A40B88B2D94}"/>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09" xr:uid="{14EB2ECF-F651-4EA8-A5E3-84129D96E8AB}"/>
    <cellStyle name="40% - Accent1 2 2 2 3 2 3" xfId="12592" xr:uid="{CA34696B-A524-432F-A48E-00A0511D827E}"/>
    <cellStyle name="40% - Accent1 2 2 2 3 3" xfId="5382" xr:uid="{00000000-0005-0000-0000-0000CC030000}"/>
    <cellStyle name="40% - Accent1 2 2 2 3 3 2" xfId="14664" xr:uid="{F7E6DDF4-5319-451A-9263-8289EE51B67D}"/>
    <cellStyle name="40% - Accent1 2 2 2 3 4" xfId="10447" xr:uid="{9A25DEBB-4459-4B92-88B6-E45DF9820331}"/>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22" xr:uid="{2A684866-7FEB-4549-B118-D742DDA76BFC}"/>
    <cellStyle name="40% - Accent1 2 2 2 4 2 3" xfId="13005" xr:uid="{B9DF10BB-3FB5-42E5-B607-B25B3D720532}"/>
    <cellStyle name="40% - Accent1 2 2 2 4 3" xfId="5795" xr:uid="{00000000-0005-0000-0000-0000D0030000}"/>
    <cellStyle name="40% - Accent1 2 2 2 4 3 2" xfId="15077" xr:uid="{E057D2D9-F49B-497F-9DC5-F3666A7AFD33}"/>
    <cellStyle name="40% - Accent1 2 2 2 4 4" xfId="10860" xr:uid="{4F1B270C-F85C-453F-9591-96E40405840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35" xr:uid="{E3FD191B-6AF3-4209-8B0D-8D392434FEA4}"/>
    <cellStyle name="40% - Accent1 2 2 2 5 2 3" xfId="13418" xr:uid="{C5C33C51-DE20-4A69-8296-C9CE1DEEFED0}"/>
    <cellStyle name="40% - Accent1 2 2 2 5 3" xfId="6208" xr:uid="{00000000-0005-0000-0000-0000D4030000}"/>
    <cellStyle name="40% - Accent1 2 2 2 5 3 2" xfId="15490" xr:uid="{288EECD3-A1C5-4688-A5FF-A4D6982645AD}"/>
    <cellStyle name="40% - Accent1 2 2 2 5 4" xfId="11273" xr:uid="{63B046CC-C305-4B9B-9C9B-ACC45A71CBF1}"/>
    <cellStyle name="40% - Accent1 2 2 2 6" xfId="2315" xr:uid="{00000000-0005-0000-0000-0000D5030000}"/>
    <cellStyle name="40% - Accent1 2 2 2 6 2" xfId="6621" xr:uid="{00000000-0005-0000-0000-0000D6030000}"/>
    <cellStyle name="40% - Accent1 2 2 2 6 2 2" xfId="15903" xr:uid="{DEF19B97-9169-499B-BD0A-22D8D5F5BA7B}"/>
    <cellStyle name="40% - Accent1 2 2 2 6 3" xfId="11686" xr:uid="{1A4FDF4B-0CAA-4403-9FF3-6CFC90D4F8B8}"/>
    <cellStyle name="40% - Accent1 2 2 2 7" xfId="4555" xr:uid="{00000000-0005-0000-0000-0000D7030000}"/>
    <cellStyle name="40% - Accent1 2 2 2 7 2" xfId="13837" xr:uid="{1EC585E4-3928-4DC2-A271-D422EC6500DE}"/>
    <cellStyle name="40% - Accent1 2 2 2 8" xfId="9620" xr:uid="{97312CCC-B02D-4A30-BB36-C2C6F2092BB0}"/>
    <cellStyle name="40% - Accent1 2 2 2 9" xfId="8787" xr:uid="{1F2E1AC1-F1D8-4703-9261-589303A0F2E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395" xr:uid="{09B878F9-175B-4D98-A69E-4949E11C277C}"/>
    <cellStyle name="40% - Accent1 2 2 3 2 3" xfId="12178" xr:uid="{B7A72DD8-CD14-41E8-9CA2-EDA474DEF364}"/>
    <cellStyle name="40% - Accent1 2 2 3 3" xfId="4968" xr:uid="{00000000-0005-0000-0000-0000DB030000}"/>
    <cellStyle name="40% - Accent1 2 2 3 3 2" xfId="14250" xr:uid="{BDEB73EF-D0A6-4C95-96DE-20E3AA3B6FD3}"/>
    <cellStyle name="40% - Accent1 2 2 3 4" xfId="10033" xr:uid="{817C23D5-E007-4C64-AB6A-A7E02EAEB2D0}"/>
    <cellStyle name="40% - Accent1 2 2 3 5" xfId="9203" xr:uid="{7D0CC36D-04FB-49B7-AC34-6D82E482A65F}"/>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08" xr:uid="{0E8899CF-DC94-4E9A-A840-3280E19D7B59}"/>
    <cellStyle name="40% - Accent1 2 2 4 2 3" xfId="12591" xr:uid="{C5E26002-C7A1-49C1-BC2E-43D9BC9F129C}"/>
    <cellStyle name="40% - Accent1 2 2 4 3" xfId="5381" xr:uid="{00000000-0005-0000-0000-0000DF030000}"/>
    <cellStyle name="40% - Accent1 2 2 4 3 2" xfId="14663" xr:uid="{013FF8CA-546E-4BC0-84D3-0DDFF3749C57}"/>
    <cellStyle name="40% - Accent1 2 2 4 4" xfId="10446" xr:uid="{1CFBEFDD-AE91-49BA-9807-74C03B955E23}"/>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21" xr:uid="{A7D76172-FD14-49DB-9F5A-2D128261D2E6}"/>
    <cellStyle name="40% - Accent1 2 2 5 2 3" xfId="13004" xr:uid="{3ABB1FC0-FA48-4E7F-AC23-CAD22A0074F9}"/>
    <cellStyle name="40% - Accent1 2 2 5 3" xfId="5794" xr:uid="{00000000-0005-0000-0000-0000E3030000}"/>
    <cellStyle name="40% - Accent1 2 2 5 3 2" xfId="15076" xr:uid="{BDBAAD22-1298-4713-81B7-5548F99D098E}"/>
    <cellStyle name="40% - Accent1 2 2 5 4" xfId="10859" xr:uid="{DA22F5D3-6FE5-412C-AF76-46E0E6ACA5FF}"/>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34" xr:uid="{04A2FDE3-2BDF-4E3B-95F1-CBC5B21BE86E}"/>
    <cellStyle name="40% - Accent1 2 2 6 2 3" xfId="13417" xr:uid="{3426F510-5904-42E1-82EF-8932C15A221C}"/>
    <cellStyle name="40% - Accent1 2 2 6 3" xfId="6207" xr:uid="{00000000-0005-0000-0000-0000E7030000}"/>
    <cellStyle name="40% - Accent1 2 2 6 3 2" xfId="15489" xr:uid="{A31B1815-F1E3-495F-ADEF-25343532DF4C}"/>
    <cellStyle name="40% - Accent1 2 2 6 4" xfId="11272" xr:uid="{0FD616DC-EB16-4AA7-8501-056AE3966DD1}"/>
    <cellStyle name="40% - Accent1 2 2 7" xfId="2314" xr:uid="{00000000-0005-0000-0000-0000E8030000}"/>
    <cellStyle name="40% - Accent1 2 2 7 2" xfId="6620" xr:uid="{00000000-0005-0000-0000-0000E9030000}"/>
    <cellStyle name="40% - Accent1 2 2 7 2 2" xfId="15902" xr:uid="{44AF7629-01C7-4FEB-8564-397244E7F233}"/>
    <cellStyle name="40% - Accent1 2 2 7 3" xfId="11685" xr:uid="{7AA6D853-D9C9-474C-B413-030DBA94B800}"/>
    <cellStyle name="40% - Accent1 2 2 8" xfId="4554" xr:uid="{00000000-0005-0000-0000-0000EA030000}"/>
    <cellStyle name="40% - Accent1 2 2 8 2" xfId="13836" xr:uid="{0AD643F8-29EC-45F3-9944-3AEDF9E6D76B}"/>
    <cellStyle name="40% - Accent1 2 2 9" xfId="9619" xr:uid="{F75BEDB5-365D-4578-802C-912B253D3734}"/>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397" xr:uid="{45EDCCA3-19A7-4B64-BA0B-8732503B8DE6}"/>
    <cellStyle name="40% - Accent1 2 3 2 2 3" xfId="12180" xr:uid="{9981471C-4E6D-46D6-A9B2-83397B05302F}"/>
    <cellStyle name="40% - Accent1 2 3 2 3" xfId="4970" xr:uid="{00000000-0005-0000-0000-0000EF030000}"/>
    <cellStyle name="40% - Accent1 2 3 2 3 2" xfId="14252" xr:uid="{CBB43A44-2A9C-4549-AFCF-173B73ADD035}"/>
    <cellStyle name="40% - Accent1 2 3 2 4" xfId="10035" xr:uid="{03679036-74B8-45DC-84FB-E4ADB3D7AD4E}"/>
    <cellStyle name="40% - Accent1 2 3 2 5" xfId="9205" xr:uid="{DAC439C9-7F14-4594-BAC8-6A4EC5860A8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10" xr:uid="{5ED339C2-FE78-4F4E-BFB8-8E790DAB7378}"/>
    <cellStyle name="40% - Accent1 2 3 3 2 3" xfId="12593" xr:uid="{0362D78C-D3DD-4D0C-83CF-9A37A58FE2C8}"/>
    <cellStyle name="40% - Accent1 2 3 3 3" xfId="5383" xr:uid="{00000000-0005-0000-0000-0000F3030000}"/>
    <cellStyle name="40% - Accent1 2 3 3 3 2" xfId="14665" xr:uid="{8288F884-DCA1-4901-AD05-BF52FEB5CEB2}"/>
    <cellStyle name="40% - Accent1 2 3 3 4" xfId="10448" xr:uid="{73AD13B7-E3A0-4696-BD28-BD4277FA86E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23" xr:uid="{8729C115-11E4-4838-8DBD-F697209958D1}"/>
    <cellStyle name="40% - Accent1 2 3 4 2 3" xfId="13006" xr:uid="{829D79D4-B308-46B1-9F1F-97BECAADDB61}"/>
    <cellStyle name="40% - Accent1 2 3 4 3" xfId="5796" xr:uid="{00000000-0005-0000-0000-0000F7030000}"/>
    <cellStyle name="40% - Accent1 2 3 4 3 2" xfId="15078" xr:uid="{F9EA2D07-8B34-42A2-B2B0-BC92155FDE7F}"/>
    <cellStyle name="40% - Accent1 2 3 4 4" xfId="10861" xr:uid="{D70EF0DF-49C9-4414-838C-8AC5F7EAE31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36" xr:uid="{4ED71548-CD22-4409-8AA0-769371054365}"/>
    <cellStyle name="40% - Accent1 2 3 5 2 3" xfId="13419" xr:uid="{E38AE174-F94A-4061-924F-4B111A4179D8}"/>
    <cellStyle name="40% - Accent1 2 3 5 3" xfId="6209" xr:uid="{00000000-0005-0000-0000-0000FB030000}"/>
    <cellStyle name="40% - Accent1 2 3 5 3 2" xfId="15491" xr:uid="{47AD3547-B107-4F0A-A782-2BB13D1EC586}"/>
    <cellStyle name="40% - Accent1 2 3 5 4" xfId="11274" xr:uid="{DB31CA55-B881-4C1F-843C-3913BBFD2C1F}"/>
    <cellStyle name="40% - Accent1 2 3 6" xfId="2316" xr:uid="{00000000-0005-0000-0000-0000FC030000}"/>
    <cellStyle name="40% - Accent1 2 3 6 2" xfId="6622" xr:uid="{00000000-0005-0000-0000-0000FD030000}"/>
    <cellStyle name="40% - Accent1 2 3 6 2 2" xfId="15904" xr:uid="{429137EF-2F2D-4B70-A416-2FCE8F9DD640}"/>
    <cellStyle name="40% - Accent1 2 3 6 3" xfId="11687" xr:uid="{57723466-8263-4A45-8B9D-00D8F7D0CDC3}"/>
    <cellStyle name="40% - Accent1 2 3 7" xfId="4556" xr:uid="{00000000-0005-0000-0000-0000FE030000}"/>
    <cellStyle name="40% - Accent1 2 3 7 2" xfId="13838" xr:uid="{9BA218F0-AC7A-44E8-92D0-00AD55989A8B}"/>
    <cellStyle name="40% - Accent1 2 3 8" xfId="9621" xr:uid="{D0BB1FF5-9371-4C17-8B48-68F2703227D5}"/>
    <cellStyle name="40% - Accent1 2 3 9" xfId="8788" xr:uid="{F8E1D5E1-AC5A-4E0B-815C-6F07472C4608}"/>
    <cellStyle name="40% - Accent1 2 4" xfId="619" xr:uid="{00000000-0005-0000-0000-0000FF030000}"/>
    <cellStyle name="40% - Accent1 2 4 2" xfId="2890" xr:uid="{00000000-0005-0000-0000-000000040000}"/>
    <cellStyle name="40% - Accent1 2 4 2 2" xfId="7112" xr:uid="{00000000-0005-0000-0000-000001040000}"/>
    <cellStyle name="40% - Accent1 2 4 2 2 2" xfId="16394" xr:uid="{F145A3D2-42A2-47CD-BDB5-E9FE68033B02}"/>
    <cellStyle name="40% - Accent1 2 4 2 3" xfId="12177" xr:uid="{D735945D-53E5-4F5E-964E-E4EBD010C94B}"/>
    <cellStyle name="40% - Accent1 2 4 3" xfId="4967" xr:uid="{00000000-0005-0000-0000-000002040000}"/>
    <cellStyle name="40% - Accent1 2 4 3 2" xfId="14249" xr:uid="{BF988637-378F-48D6-93A6-4BA83B7334E4}"/>
    <cellStyle name="40% - Accent1 2 4 4" xfId="10032" xr:uid="{C3E5D4CD-D72C-4BF9-84F6-1531552A8896}"/>
    <cellStyle name="40% - Accent1 2 4 5" xfId="9202" xr:uid="{1D1EFA87-0E5C-42D7-8A81-D7BE644EA15A}"/>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07" xr:uid="{2819A35E-02DA-40E6-8190-C79610854148}"/>
    <cellStyle name="40% - Accent1 2 5 2 3" xfId="12590" xr:uid="{196A5154-D7E6-4F0D-B8EB-A38C35B28EF4}"/>
    <cellStyle name="40% - Accent1 2 5 3" xfId="5380" xr:uid="{00000000-0005-0000-0000-000006040000}"/>
    <cellStyle name="40% - Accent1 2 5 3 2" xfId="14662" xr:uid="{32759EDC-BD7D-48F9-94C6-4EB77CD00496}"/>
    <cellStyle name="40% - Accent1 2 5 4" xfId="10445" xr:uid="{128B71A9-167C-4D7D-8BCC-D036730304C0}"/>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20" xr:uid="{543D95A1-F274-45F4-BEB9-CD7C6C039FD6}"/>
    <cellStyle name="40% - Accent1 2 6 2 3" xfId="13003" xr:uid="{94E77AB5-7168-4DA3-B09E-7CCAFB2E30A1}"/>
    <cellStyle name="40% - Accent1 2 6 3" xfId="5793" xr:uid="{00000000-0005-0000-0000-00000A040000}"/>
    <cellStyle name="40% - Accent1 2 6 3 2" xfId="15075" xr:uid="{8C8AADC0-0AF1-4AD3-A6A8-00B392FF1256}"/>
    <cellStyle name="40% - Accent1 2 6 4" xfId="10858" xr:uid="{CE4EFE63-BB4A-43FD-A60B-E25388E5DB76}"/>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33" xr:uid="{2FFF71A7-C518-488D-9D12-0F3F3C8B15DF}"/>
    <cellStyle name="40% - Accent1 2 7 2 3" xfId="13416" xr:uid="{07694A00-98D4-444A-A3BD-89EF680B9678}"/>
    <cellStyle name="40% - Accent1 2 7 3" xfId="6206" xr:uid="{00000000-0005-0000-0000-00000E040000}"/>
    <cellStyle name="40% - Accent1 2 7 3 2" xfId="15488" xr:uid="{145EB554-1FA4-46D3-8799-E51285B7A5E0}"/>
    <cellStyle name="40% - Accent1 2 7 4" xfId="11271" xr:uid="{37B59152-2AFF-4CBB-AB93-5A37282BA31E}"/>
    <cellStyle name="40% - Accent1 2 8" xfId="2313" xr:uid="{00000000-0005-0000-0000-00000F040000}"/>
    <cellStyle name="40% - Accent1 2 8 2" xfId="6619" xr:uid="{00000000-0005-0000-0000-000010040000}"/>
    <cellStyle name="40% - Accent1 2 8 2 2" xfId="15901" xr:uid="{879A60F8-C82F-4FDC-96CF-7DD261E4EAEA}"/>
    <cellStyle name="40% - Accent1 2 8 3" xfId="11684" xr:uid="{4126A18F-643B-4508-992A-768019A2C9C9}"/>
    <cellStyle name="40% - Accent1 2 9" xfId="4553" xr:uid="{00000000-0005-0000-0000-000011040000}"/>
    <cellStyle name="40% - Accent1 2 9 2" xfId="13835" xr:uid="{E26DE419-58D8-46E2-8F73-0AA268B6674A}"/>
    <cellStyle name="40% - Accent1 3" xfId="54" xr:uid="{00000000-0005-0000-0000-000012040000}"/>
    <cellStyle name="40% - Accent1 3 10" xfId="8789" xr:uid="{DC069AEF-7922-4998-B86C-9F5F8F1865D7}"/>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399" xr:uid="{1815F982-27D3-4F0C-999D-A24E01FA868D}"/>
    <cellStyle name="40% - Accent1 3 2 2 2 3" xfId="12182" xr:uid="{B5B70276-4A65-4A92-958E-139A0A0B14DD}"/>
    <cellStyle name="40% - Accent1 3 2 2 3" xfId="4972" xr:uid="{00000000-0005-0000-0000-000017040000}"/>
    <cellStyle name="40% - Accent1 3 2 2 3 2" xfId="14254" xr:uid="{2F976A38-95C5-4462-83FF-339A93D84253}"/>
    <cellStyle name="40% - Accent1 3 2 2 4" xfId="10037" xr:uid="{BADFAB92-C153-4F54-B7DB-466E508D8CB5}"/>
    <cellStyle name="40% - Accent1 3 2 2 5" xfId="9207" xr:uid="{23E40FD0-8FF0-42AB-B772-EBD0A850FAFC}"/>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12" xr:uid="{FE2E70A0-AA9B-423D-A988-AA6C666DF580}"/>
    <cellStyle name="40% - Accent1 3 2 3 2 3" xfId="12595" xr:uid="{C23F942C-E378-4DB0-A4AB-48587539A800}"/>
    <cellStyle name="40% - Accent1 3 2 3 3" xfId="5385" xr:uid="{00000000-0005-0000-0000-00001B040000}"/>
    <cellStyle name="40% - Accent1 3 2 3 3 2" xfId="14667" xr:uid="{99A7C741-4BE2-4704-AC10-E5AD55FCFDDC}"/>
    <cellStyle name="40% - Accent1 3 2 3 4" xfId="10450" xr:uid="{6C8B5575-4CB6-40E4-B974-37222A6FCF77}"/>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25" xr:uid="{7F1C3993-3DEA-4B0D-813D-42B230C96B3D}"/>
    <cellStyle name="40% - Accent1 3 2 4 2 3" xfId="13008" xr:uid="{1A6173AF-43AA-4844-AE31-1A31865E3D9E}"/>
    <cellStyle name="40% - Accent1 3 2 4 3" xfId="5798" xr:uid="{00000000-0005-0000-0000-00001F040000}"/>
    <cellStyle name="40% - Accent1 3 2 4 3 2" xfId="15080" xr:uid="{ABEAE0B2-4C7D-426B-938F-C390C338F23B}"/>
    <cellStyle name="40% - Accent1 3 2 4 4" xfId="10863" xr:uid="{4F678443-CD13-4B21-8D68-708B14E0BB75}"/>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38" xr:uid="{80C56700-F466-43AD-A5DF-AE603A007D12}"/>
    <cellStyle name="40% - Accent1 3 2 5 2 3" xfId="13421" xr:uid="{26E1A11F-9DB9-4E98-80F7-FED970B614C3}"/>
    <cellStyle name="40% - Accent1 3 2 5 3" xfId="6211" xr:uid="{00000000-0005-0000-0000-000023040000}"/>
    <cellStyle name="40% - Accent1 3 2 5 3 2" xfId="15493" xr:uid="{824E9322-027C-440C-B8D1-A464F185AAB7}"/>
    <cellStyle name="40% - Accent1 3 2 5 4" xfId="11276" xr:uid="{92C57B68-8DB7-4484-A798-093971AF8833}"/>
    <cellStyle name="40% - Accent1 3 2 6" xfId="2318" xr:uid="{00000000-0005-0000-0000-000024040000}"/>
    <cellStyle name="40% - Accent1 3 2 6 2" xfId="6624" xr:uid="{00000000-0005-0000-0000-000025040000}"/>
    <cellStyle name="40% - Accent1 3 2 6 2 2" xfId="15906" xr:uid="{C3A6D0D3-508B-4A2F-A6F7-AA59B699D075}"/>
    <cellStyle name="40% - Accent1 3 2 6 3" xfId="11689" xr:uid="{A1FEA87C-7EAB-4589-ADAC-F42AEE4B34B4}"/>
    <cellStyle name="40% - Accent1 3 2 7" xfId="4558" xr:uid="{00000000-0005-0000-0000-000026040000}"/>
    <cellStyle name="40% - Accent1 3 2 7 2" xfId="13840" xr:uid="{ED208A7D-13F0-4A00-906E-26DECA8BD93F}"/>
    <cellStyle name="40% - Accent1 3 2 8" xfId="9623" xr:uid="{09149175-A3A4-446D-A127-B017D443DEDB}"/>
    <cellStyle name="40% - Accent1 3 2 9" xfId="8790" xr:uid="{E3D96996-E837-4337-BE47-442ABB7DCD54}"/>
    <cellStyle name="40% - Accent1 3 3" xfId="623" xr:uid="{00000000-0005-0000-0000-000027040000}"/>
    <cellStyle name="40% - Accent1 3 3 2" xfId="2894" xr:uid="{00000000-0005-0000-0000-000028040000}"/>
    <cellStyle name="40% - Accent1 3 3 2 2" xfId="7116" xr:uid="{00000000-0005-0000-0000-000029040000}"/>
    <cellStyle name="40% - Accent1 3 3 2 2 2" xfId="16398" xr:uid="{57A708B1-0ED7-4BDC-8CA3-896EB6C6FEFA}"/>
    <cellStyle name="40% - Accent1 3 3 2 3" xfId="12181" xr:uid="{14DC0E90-D0C7-40D2-9DFD-F0F26BA31A2A}"/>
    <cellStyle name="40% - Accent1 3 3 3" xfId="4971" xr:uid="{00000000-0005-0000-0000-00002A040000}"/>
    <cellStyle name="40% - Accent1 3 3 3 2" xfId="14253" xr:uid="{CF7273A4-28CB-4131-AC81-AFCC71DCCB76}"/>
    <cellStyle name="40% - Accent1 3 3 4" xfId="10036" xr:uid="{FFE109AF-4C16-4B48-BA64-EE5FFFD98FF4}"/>
    <cellStyle name="40% - Accent1 3 3 5" xfId="9206" xr:uid="{FBB0D8C7-7F5F-479F-BB07-AEBCCEAEAF5C}"/>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11" xr:uid="{0C343253-0295-459D-A516-F27E9C3428D0}"/>
    <cellStyle name="40% - Accent1 3 4 2 3" xfId="12594" xr:uid="{7B765B97-FE87-43A5-8324-1AF476B0D5D2}"/>
    <cellStyle name="40% - Accent1 3 4 3" xfId="5384" xr:uid="{00000000-0005-0000-0000-00002E040000}"/>
    <cellStyle name="40% - Accent1 3 4 3 2" xfId="14666" xr:uid="{A6552A22-F010-4003-8F8F-921BFFA988E4}"/>
    <cellStyle name="40% - Accent1 3 4 4" xfId="10449" xr:uid="{D025A4FB-1933-4EC9-AE05-D232DCF2FCC2}"/>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24" xr:uid="{DC2F360E-B0B9-4A44-9D80-19D1810ED091}"/>
    <cellStyle name="40% - Accent1 3 5 2 3" xfId="13007" xr:uid="{75B64DF2-966A-4305-B86C-CC782CA05295}"/>
    <cellStyle name="40% - Accent1 3 5 3" xfId="5797" xr:uid="{00000000-0005-0000-0000-000032040000}"/>
    <cellStyle name="40% - Accent1 3 5 3 2" xfId="15079" xr:uid="{0F00D42E-26E5-422F-812A-96CF6C80AB5D}"/>
    <cellStyle name="40% - Accent1 3 5 4" xfId="10862" xr:uid="{681E18FE-97E0-4F22-A2AA-FF3C9DF59F86}"/>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37" xr:uid="{47BF58A5-901B-4002-B7D9-8803CD7DB977}"/>
    <cellStyle name="40% - Accent1 3 6 2 3" xfId="13420" xr:uid="{90E47857-1F76-447D-A3BB-F5C045B0FC02}"/>
    <cellStyle name="40% - Accent1 3 6 3" xfId="6210" xr:uid="{00000000-0005-0000-0000-000036040000}"/>
    <cellStyle name="40% - Accent1 3 6 3 2" xfId="15492" xr:uid="{963069B0-1F91-40AE-9BEF-954DDCAE91F5}"/>
    <cellStyle name="40% - Accent1 3 6 4" xfId="11275" xr:uid="{7C3F6CB9-4C3D-434D-B255-1D6A2EC1B4C2}"/>
    <cellStyle name="40% - Accent1 3 7" xfId="2317" xr:uid="{00000000-0005-0000-0000-000037040000}"/>
    <cellStyle name="40% - Accent1 3 7 2" xfId="6623" xr:uid="{00000000-0005-0000-0000-000038040000}"/>
    <cellStyle name="40% - Accent1 3 7 2 2" xfId="15905" xr:uid="{9BA4765C-AC74-41D1-9EA3-18B205DC7809}"/>
    <cellStyle name="40% - Accent1 3 7 3" xfId="11688" xr:uid="{EA638BD1-3D7A-4993-8076-DF39FCACE925}"/>
    <cellStyle name="40% - Accent1 3 8" xfId="4557" xr:uid="{00000000-0005-0000-0000-000039040000}"/>
    <cellStyle name="40% - Accent1 3 8 2" xfId="13839" xr:uid="{59AA3258-A20A-4F6A-858A-D83F72BA5057}"/>
    <cellStyle name="40% - Accent1 3 9" xfId="9622" xr:uid="{128A347A-493E-40D0-8C9D-AA56B84C630B}"/>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00" xr:uid="{A05C8B1D-AE38-4C3C-A6C9-323353F75515}"/>
    <cellStyle name="40% - Accent1 4 2 2 3" xfId="12183" xr:uid="{DED1B2C5-A707-49A0-AD81-7CBB84C4358C}"/>
    <cellStyle name="40% - Accent1 4 2 3" xfId="4973" xr:uid="{00000000-0005-0000-0000-00003E040000}"/>
    <cellStyle name="40% - Accent1 4 2 3 2" xfId="14255" xr:uid="{303A291A-0F54-4210-8677-2FDEFC11CC29}"/>
    <cellStyle name="40% - Accent1 4 2 4" xfId="10038" xr:uid="{9BF0CEDD-1DA5-4B53-B341-72A985F97738}"/>
    <cellStyle name="40% - Accent1 4 2 5" xfId="9208" xr:uid="{B4250EA1-E175-4C6C-B71C-22C4C59961A3}"/>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13" xr:uid="{36466E67-83F8-4D97-BD51-F2F7796FF422}"/>
    <cellStyle name="40% - Accent1 4 3 2 3" xfId="12596" xr:uid="{E697594E-2CA2-4BC7-9776-CCD9B7F9F873}"/>
    <cellStyle name="40% - Accent1 4 3 3" xfId="5386" xr:uid="{00000000-0005-0000-0000-000042040000}"/>
    <cellStyle name="40% - Accent1 4 3 3 2" xfId="14668" xr:uid="{F5C12A25-086F-4E56-B93E-DF268BA0866E}"/>
    <cellStyle name="40% - Accent1 4 3 4" xfId="10451" xr:uid="{78C263EB-36AF-4A04-8CA0-D0E41C840CB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26" xr:uid="{4E8B2AE4-3F10-4DD5-978C-0C57BE79C5C6}"/>
    <cellStyle name="40% - Accent1 4 4 2 3" xfId="13009" xr:uid="{6D8A40EB-A05C-44D6-B625-DBAD04C6C8B5}"/>
    <cellStyle name="40% - Accent1 4 4 3" xfId="5799" xr:uid="{00000000-0005-0000-0000-000046040000}"/>
    <cellStyle name="40% - Accent1 4 4 3 2" xfId="15081" xr:uid="{C1203B73-7AB1-479A-BAC5-22FCC6CAD50D}"/>
    <cellStyle name="40% - Accent1 4 4 4" xfId="10864" xr:uid="{28B81454-7EC0-4A69-A1F3-9FA1403123E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39" xr:uid="{9A008488-5BEA-4749-9568-D580941E1BC8}"/>
    <cellStyle name="40% - Accent1 4 5 2 3" xfId="13422" xr:uid="{61D77A52-DDEC-45EF-A45B-281F02E93A76}"/>
    <cellStyle name="40% - Accent1 4 5 3" xfId="6212" xr:uid="{00000000-0005-0000-0000-00004A040000}"/>
    <cellStyle name="40% - Accent1 4 5 3 2" xfId="15494" xr:uid="{61414878-82A6-4BB4-B894-097356D61365}"/>
    <cellStyle name="40% - Accent1 4 5 4" xfId="11277" xr:uid="{34EB5251-D96C-43E2-B912-046FF2F3F6CE}"/>
    <cellStyle name="40% - Accent1 4 6" xfId="2319" xr:uid="{00000000-0005-0000-0000-00004B040000}"/>
    <cellStyle name="40% - Accent1 4 6 2" xfId="6625" xr:uid="{00000000-0005-0000-0000-00004C040000}"/>
    <cellStyle name="40% - Accent1 4 6 2 2" xfId="15907" xr:uid="{682A8EFA-9959-4915-AB06-1C6B5478BA0C}"/>
    <cellStyle name="40% - Accent1 4 6 3" xfId="11690" xr:uid="{9049F3E6-1554-4563-8BB7-51486A16AA4F}"/>
    <cellStyle name="40% - Accent1 4 7" xfId="4559" xr:uid="{00000000-0005-0000-0000-00004D040000}"/>
    <cellStyle name="40% - Accent1 4 7 2" xfId="13841" xr:uid="{3BED5F34-664B-4AF1-8540-A265F66CE1B5}"/>
    <cellStyle name="40% - Accent1 4 8" xfId="9624" xr:uid="{2171DA12-AB1B-4AB9-A3EB-72FD883D67F7}"/>
    <cellStyle name="40% - Accent1 4 9" xfId="8791" xr:uid="{F3E82B78-D32D-4868-B579-9BBA28655FCF}"/>
    <cellStyle name="40% - Accent1 5" xfId="618" xr:uid="{00000000-0005-0000-0000-00004E040000}"/>
    <cellStyle name="40% - Accent1 5 2" xfId="2889" xr:uid="{00000000-0005-0000-0000-00004F040000}"/>
    <cellStyle name="40% - Accent1 5 2 2" xfId="7111" xr:uid="{00000000-0005-0000-0000-000050040000}"/>
    <cellStyle name="40% - Accent1 5 2 2 2" xfId="16393" xr:uid="{39EBF1C1-F2D8-44BC-9641-E704E86687E5}"/>
    <cellStyle name="40% - Accent1 5 2 3" xfId="12176" xr:uid="{50393320-3BEB-4C43-8A2A-4D6786B6DCBA}"/>
    <cellStyle name="40% - Accent1 5 3" xfId="4966" xr:uid="{00000000-0005-0000-0000-000051040000}"/>
    <cellStyle name="40% - Accent1 5 3 2" xfId="14248" xr:uid="{3BEBF697-DB8A-4D45-B25A-F00A1970172C}"/>
    <cellStyle name="40% - Accent1 5 4" xfId="10031" xr:uid="{E72CD8F3-CC2B-441A-A582-4E51E5C79C19}"/>
    <cellStyle name="40% - Accent1 5 5" xfId="9201" xr:uid="{E34CFAAA-D05D-4E93-BE65-99E874B5287C}"/>
    <cellStyle name="40% - Accent1 6" xfId="1071" xr:uid="{00000000-0005-0000-0000-000052040000}"/>
    <cellStyle name="40% - Accent1 6 2" xfId="3302" xr:uid="{00000000-0005-0000-0000-000053040000}"/>
    <cellStyle name="40% - Accent1 6 2 2" xfId="7524" xr:uid="{00000000-0005-0000-0000-000054040000}"/>
    <cellStyle name="40% - Accent1 6 2 2 2" xfId="16806" xr:uid="{08B63769-453A-4697-8BFD-FCDFAE3692DD}"/>
    <cellStyle name="40% - Accent1 6 2 3" xfId="12589" xr:uid="{DBBFB571-95BF-45A8-B36E-7A30BE9D333A}"/>
    <cellStyle name="40% - Accent1 6 3" xfId="5379" xr:uid="{00000000-0005-0000-0000-000055040000}"/>
    <cellStyle name="40% - Accent1 6 3 2" xfId="14661" xr:uid="{CE52068A-23D6-476F-B72E-F88C750EB8C0}"/>
    <cellStyle name="40% - Accent1 6 4" xfId="10444" xr:uid="{48386F75-3865-4029-A4F0-66531D404243}"/>
    <cellStyle name="40% - Accent1 7" xfId="1485" xr:uid="{00000000-0005-0000-0000-000056040000}"/>
    <cellStyle name="40% - Accent1 7 2" xfId="3715" xr:uid="{00000000-0005-0000-0000-000057040000}"/>
    <cellStyle name="40% - Accent1 7 2 2" xfId="7937" xr:uid="{00000000-0005-0000-0000-000058040000}"/>
    <cellStyle name="40% - Accent1 7 2 2 2" xfId="17219" xr:uid="{1297D5E9-10AE-4614-97CB-1227D02F4277}"/>
    <cellStyle name="40% - Accent1 7 2 3" xfId="13002" xr:uid="{01AFA0DB-9483-4274-B17B-4FBBB1813826}"/>
    <cellStyle name="40% - Accent1 7 3" xfId="5792" xr:uid="{00000000-0005-0000-0000-000059040000}"/>
    <cellStyle name="40% - Accent1 7 3 2" xfId="15074" xr:uid="{B66F5DC6-82A9-4197-813B-F789323BDE73}"/>
    <cellStyle name="40% - Accent1 7 4" xfId="10857" xr:uid="{BEB09EDE-7DB1-4E5F-ABD1-54A2EA2B5BA5}"/>
    <cellStyle name="40% - Accent1 8" xfId="1899" xr:uid="{00000000-0005-0000-0000-00005A040000}"/>
    <cellStyle name="40% - Accent1 8 2" xfId="4128" xr:uid="{00000000-0005-0000-0000-00005B040000}"/>
    <cellStyle name="40% - Accent1 8 2 2" xfId="8350" xr:uid="{00000000-0005-0000-0000-00005C040000}"/>
    <cellStyle name="40% - Accent1 8 2 2 2" xfId="17632" xr:uid="{6CF13549-BAB7-4585-93CC-4BF82CDC25CC}"/>
    <cellStyle name="40% - Accent1 8 2 3" xfId="13415" xr:uid="{803F0FA7-80E3-41E7-8CEC-2F35B20F2643}"/>
    <cellStyle name="40% - Accent1 8 3" xfId="6205" xr:uid="{00000000-0005-0000-0000-00005D040000}"/>
    <cellStyle name="40% - Accent1 8 3 2" xfId="15487" xr:uid="{4EE06DF8-C021-491D-AAA9-804E9086B036}"/>
    <cellStyle name="40% - Accent1 8 4" xfId="11270" xr:uid="{8032BE0A-82CD-4DF2-8174-BB252B9C7708}"/>
    <cellStyle name="40% - Accent1 9" xfId="2312" xr:uid="{00000000-0005-0000-0000-00005E040000}"/>
    <cellStyle name="40% - Accent1 9 2" xfId="6618" xr:uid="{00000000-0005-0000-0000-00005F040000}"/>
    <cellStyle name="40% - Accent1 9 2 2" xfId="15900" xr:uid="{36D54FB0-A503-4F39-90CF-F4D6617AB57B}"/>
    <cellStyle name="40% - Accent1 9 3" xfId="11683" xr:uid="{646007CB-D576-44C2-BFF3-9B03062BC4F6}"/>
    <cellStyle name="40% - Accent2" xfId="57" builtinId="35" customBuiltin="1"/>
    <cellStyle name="40% - Accent2 10" xfId="4560" xr:uid="{00000000-0005-0000-0000-000061040000}"/>
    <cellStyle name="40% - Accent2 10 2" xfId="13842" xr:uid="{A25766F1-F79E-4439-B66D-5384212FF85D}"/>
    <cellStyle name="40% - Accent2 11" xfId="9625" xr:uid="{4C08637F-8B41-4F51-A158-F6DA9F2A656B}"/>
    <cellStyle name="40% - Accent2 12" xfId="8792" xr:uid="{A1C6462E-FA16-47A6-8C04-36BDF660D619}"/>
    <cellStyle name="40% - Accent2 2" xfId="58" xr:uid="{00000000-0005-0000-0000-000062040000}"/>
    <cellStyle name="40% - Accent2 2 10" xfId="9626" xr:uid="{BD466718-ADB5-4B2B-ACDC-B06658689F7F}"/>
    <cellStyle name="40% - Accent2 2 11" xfId="8793" xr:uid="{A723A900-2FC6-4EF0-8655-0E4487729A27}"/>
    <cellStyle name="40% - Accent2 2 2" xfId="59" xr:uid="{00000000-0005-0000-0000-000063040000}"/>
    <cellStyle name="40% - Accent2 2 2 10" xfId="8794" xr:uid="{C9251433-3A53-46A6-9E44-ECAC6345BC56}"/>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04" xr:uid="{9CEE94D6-EA91-420B-A9D6-F7449441B9E3}"/>
    <cellStyle name="40% - Accent2 2 2 2 2 2 3" xfId="12187" xr:uid="{9E276A3C-BA13-4DF7-93D9-45840BE9C93B}"/>
    <cellStyle name="40% - Accent2 2 2 2 2 3" xfId="4977" xr:uid="{00000000-0005-0000-0000-000068040000}"/>
    <cellStyle name="40% - Accent2 2 2 2 2 3 2" xfId="14259" xr:uid="{1BA797F8-78DE-4F9A-AF60-FBB855CBA37F}"/>
    <cellStyle name="40% - Accent2 2 2 2 2 4" xfId="10042" xr:uid="{CB833956-322D-41AC-8D91-CF172BF0B723}"/>
    <cellStyle name="40% - Accent2 2 2 2 2 5" xfId="9212" xr:uid="{2DF8E85E-40C2-41FE-BD46-BFA151F7BCD6}"/>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17" xr:uid="{06CB7C54-4260-4E3C-BF4C-3874893BA75B}"/>
    <cellStyle name="40% - Accent2 2 2 2 3 2 3" xfId="12600" xr:uid="{73BBAFD6-D7FC-45B1-A686-06FAB11D1D12}"/>
    <cellStyle name="40% - Accent2 2 2 2 3 3" xfId="5390" xr:uid="{00000000-0005-0000-0000-00006C040000}"/>
    <cellStyle name="40% - Accent2 2 2 2 3 3 2" xfId="14672" xr:uid="{AF873740-B961-4171-A2D0-94450C24CF2F}"/>
    <cellStyle name="40% - Accent2 2 2 2 3 4" xfId="10455" xr:uid="{1E87F664-C1E4-45B7-A123-D454C84EEEEE}"/>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30" xr:uid="{83A8D6CC-6915-4191-8778-3E2EC6082D63}"/>
    <cellStyle name="40% - Accent2 2 2 2 4 2 3" xfId="13013" xr:uid="{E3523358-926B-48EF-A79F-FA831365FC0A}"/>
    <cellStyle name="40% - Accent2 2 2 2 4 3" xfId="5803" xr:uid="{00000000-0005-0000-0000-000070040000}"/>
    <cellStyle name="40% - Accent2 2 2 2 4 3 2" xfId="15085" xr:uid="{9BDB0BE8-EEA4-48EC-B148-3F4F11E96F9F}"/>
    <cellStyle name="40% - Accent2 2 2 2 4 4" xfId="10868" xr:uid="{D3D51AFD-EE17-4C9C-A878-0B522E38CBA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43" xr:uid="{7739E9F0-E8A0-429B-B2D3-6757E869F250}"/>
    <cellStyle name="40% - Accent2 2 2 2 5 2 3" xfId="13426" xr:uid="{D17C8882-40C5-453C-95E8-CCDD27164F54}"/>
    <cellStyle name="40% - Accent2 2 2 2 5 3" xfId="6216" xr:uid="{00000000-0005-0000-0000-000074040000}"/>
    <cellStyle name="40% - Accent2 2 2 2 5 3 2" xfId="15498" xr:uid="{AA5F4494-F014-4A4D-92E7-E8A74864359D}"/>
    <cellStyle name="40% - Accent2 2 2 2 5 4" xfId="11281" xr:uid="{21D501BF-F940-4EDC-A153-5D930E54F1D5}"/>
    <cellStyle name="40% - Accent2 2 2 2 6" xfId="2323" xr:uid="{00000000-0005-0000-0000-000075040000}"/>
    <cellStyle name="40% - Accent2 2 2 2 6 2" xfId="6629" xr:uid="{00000000-0005-0000-0000-000076040000}"/>
    <cellStyle name="40% - Accent2 2 2 2 6 2 2" xfId="15911" xr:uid="{62911B07-79CE-49C9-B1DA-1D8C57D5EBB0}"/>
    <cellStyle name="40% - Accent2 2 2 2 6 3" xfId="11694" xr:uid="{2CA9E5EA-4275-4BFD-8418-CBA3A88DBA05}"/>
    <cellStyle name="40% - Accent2 2 2 2 7" xfId="4563" xr:uid="{00000000-0005-0000-0000-000077040000}"/>
    <cellStyle name="40% - Accent2 2 2 2 7 2" xfId="13845" xr:uid="{9FAC984D-EFB4-46A8-8FD3-8EB350C92C17}"/>
    <cellStyle name="40% - Accent2 2 2 2 8" xfId="9628" xr:uid="{B8208A66-15CF-492F-81F0-A9D1C307C42B}"/>
    <cellStyle name="40% - Accent2 2 2 2 9" xfId="8795" xr:uid="{2FCF9CD7-4BDF-4C81-98AF-39D5A74BF25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03" xr:uid="{0C6864B9-AECB-48D1-988D-8E913F41A0AE}"/>
    <cellStyle name="40% - Accent2 2 2 3 2 3" xfId="12186" xr:uid="{E910010E-AF4E-495E-993D-90D0EA3D01BF}"/>
    <cellStyle name="40% - Accent2 2 2 3 3" xfId="4976" xr:uid="{00000000-0005-0000-0000-00007B040000}"/>
    <cellStyle name="40% - Accent2 2 2 3 3 2" xfId="14258" xr:uid="{1D8B2FA5-2531-4745-AE91-7C220623D83A}"/>
    <cellStyle name="40% - Accent2 2 2 3 4" xfId="10041" xr:uid="{4C1FA3E9-B0BA-4AA0-8813-6030EC80B8F0}"/>
    <cellStyle name="40% - Accent2 2 2 3 5" xfId="9211" xr:uid="{241CED93-BCFE-4E88-B5A7-F6B06343DA92}"/>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16" xr:uid="{836F5C9D-8086-42AF-AE25-5B3C6DCCD584}"/>
    <cellStyle name="40% - Accent2 2 2 4 2 3" xfId="12599" xr:uid="{6E0052E1-4EA1-41ED-A6C1-7B2F8F579D84}"/>
    <cellStyle name="40% - Accent2 2 2 4 3" xfId="5389" xr:uid="{00000000-0005-0000-0000-00007F040000}"/>
    <cellStyle name="40% - Accent2 2 2 4 3 2" xfId="14671" xr:uid="{76FE9D7C-8FCD-4232-878A-7321BCDCA4B5}"/>
    <cellStyle name="40% - Accent2 2 2 4 4" xfId="10454" xr:uid="{0B157EEA-17B0-45E9-B350-F19C05F33233}"/>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29" xr:uid="{DF75574E-E4DB-4DDC-BB12-DAD85C084587}"/>
    <cellStyle name="40% - Accent2 2 2 5 2 3" xfId="13012" xr:uid="{9E18430F-67EF-4B4B-8B14-E93875B314B8}"/>
    <cellStyle name="40% - Accent2 2 2 5 3" xfId="5802" xr:uid="{00000000-0005-0000-0000-000083040000}"/>
    <cellStyle name="40% - Accent2 2 2 5 3 2" xfId="15084" xr:uid="{C11D6345-779E-4BF5-B0AA-FB06F2CD83CC}"/>
    <cellStyle name="40% - Accent2 2 2 5 4" xfId="10867" xr:uid="{3AE240ED-B7ED-4C1A-9270-44617359874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42" xr:uid="{F75D89D9-61C1-4563-BEBD-3EDAE99E780E}"/>
    <cellStyle name="40% - Accent2 2 2 6 2 3" xfId="13425" xr:uid="{D5B5BD51-D6C7-44C6-9FE2-B145581EFC03}"/>
    <cellStyle name="40% - Accent2 2 2 6 3" xfId="6215" xr:uid="{00000000-0005-0000-0000-000087040000}"/>
    <cellStyle name="40% - Accent2 2 2 6 3 2" xfId="15497" xr:uid="{4AFBA9FF-0985-47D0-B5BB-95F451BF80DF}"/>
    <cellStyle name="40% - Accent2 2 2 6 4" xfId="11280" xr:uid="{76A8F825-59D7-46C2-BFBC-93A522623C82}"/>
    <cellStyle name="40% - Accent2 2 2 7" xfId="2322" xr:uid="{00000000-0005-0000-0000-000088040000}"/>
    <cellStyle name="40% - Accent2 2 2 7 2" xfId="6628" xr:uid="{00000000-0005-0000-0000-000089040000}"/>
    <cellStyle name="40% - Accent2 2 2 7 2 2" xfId="15910" xr:uid="{6A2BB351-3565-4E53-B1DD-5CADB42CC877}"/>
    <cellStyle name="40% - Accent2 2 2 7 3" xfId="11693" xr:uid="{C36E9731-761C-4A4B-AC58-704CC47308A7}"/>
    <cellStyle name="40% - Accent2 2 2 8" xfId="4562" xr:uid="{00000000-0005-0000-0000-00008A040000}"/>
    <cellStyle name="40% - Accent2 2 2 8 2" xfId="13844" xr:uid="{B186FA12-A16D-4F2D-A3C4-4CA751D985AB}"/>
    <cellStyle name="40% - Accent2 2 2 9" xfId="9627" xr:uid="{0C1D40BF-479D-46FF-826F-9C70C0060F9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05" xr:uid="{991DBA54-2C2A-4515-AFF4-35D326A34C3B}"/>
    <cellStyle name="40% - Accent2 2 3 2 2 3" xfId="12188" xr:uid="{92F5D2B6-F28F-411E-89D9-054F30EAA345}"/>
    <cellStyle name="40% - Accent2 2 3 2 3" xfId="4978" xr:uid="{00000000-0005-0000-0000-00008F040000}"/>
    <cellStyle name="40% - Accent2 2 3 2 3 2" xfId="14260" xr:uid="{ED625622-AC16-4FBF-B351-48188281D9C7}"/>
    <cellStyle name="40% - Accent2 2 3 2 4" xfId="10043" xr:uid="{3DE19BDC-DB26-4240-96C1-AA53F11776A0}"/>
    <cellStyle name="40% - Accent2 2 3 2 5" xfId="9213" xr:uid="{5D1E5779-6F82-442D-9FE0-F6A7CDD0304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18" xr:uid="{8BDE48CC-CD11-48C5-A043-0F113199CD75}"/>
    <cellStyle name="40% - Accent2 2 3 3 2 3" xfId="12601" xr:uid="{F02A5719-E369-4A7A-9CD3-7F981A89C835}"/>
    <cellStyle name="40% - Accent2 2 3 3 3" xfId="5391" xr:uid="{00000000-0005-0000-0000-000093040000}"/>
    <cellStyle name="40% - Accent2 2 3 3 3 2" xfId="14673" xr:uid="{DEF92E0C-8C3B-4836-B674-5D5D3B96174F}"/>
    <cellStyle name="40% - Accent2 2 3 3 4" xfId="10456" xr:uid="{17DC50FD-75D8-4D10-A267-FE2668D4C311}"/>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31" xr:uid="{D83C4C04-0F0B-41A4-9B80-F8A12D0331F7}"/>
    <cellStyle name="40% - Accent2 2 3 4 2 3" xfId="13014" xr:uid="{C40E4D15-3FD4-43DE-B48A-DF162E1D85B4}"/>
    <cellStyle name="40% - Accent2 2 3 4 3" xfId="5804" xr:uid="{00000000-0005-0000-0000-000097040000}"/>
    <cellStyle name="40% - Accent2 2 3 4 3 2" xfId="15086" xr:uid="{46B66417-BFF5-47A7-8933-9ECC2DEEC028}"/>
    <cellStyle name="40% - Accent2 2 3 4 4" xfId="10869" xr:uid="{204F9A04-6DD2-430F-8675-6945B674F9BB}"/>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44" xr:uid="{8EB624B8-2ABD-4DD0-A41A-73845F81A192}"/>
    <cellStyle name="40% - Accent2 2 3 5 2 3" xfId="13427" xr:uid="{84FB39CB-4C98-4B1C-B062-A92E682DF38C}"/>
    <cellStyle name="40% - Accent2 2 3 5 3" xfId="6217" xr:uid="{00000000-0005-0000-0000-00009B040000}"/>
    <cellStyle name="40% - Accent2 2 3 5 3 2" xfId="15499" xr:uid="{BEE3B541-11D2-47FF-A8D6-9DF02A25FFCD}"/>
    <cellStyle name="40% - Accent2 2 3 5 4" xfId="11282" xr:uid="{8D19109A-6F45-46EE-A96A-871A3739E0F2}"/>
    <cellStyle name="40% - Accent2 2 3 6" xfId="2324" xr:uid="{00000000-0005-0000-0000-00009C040000}"/>
    <cellStyle name="40% - Accent2 2 3 6 2" xfId="6630" xr:uid="{00000000-0005-0000-0000-00009D040000}"/>
    <cellStyle name="40% - Accent2 2 3 6 2 2" xfId="15912" xr:uid="{27D7F340-7A28-4515-8924-AFE853A0C9D6}"/>
    <cellStyle name="40% - Accent2 2 3 6 3" xfId="11695" xr:uid="{9872242F-8AB2-4620-AEFD-7C2F082837E7}"/>
    <cellStyle name="40% - Accent2 2 3 7" xfId="4564" xr:uid="{00000000-0005-0000-0000-00009E040000}"/>
    <cellStyle name="40% - Accent2 2 3 7 2" xfId="13846" xr:uid="{02940252-4461-4F65-B989-BA4C1210B3C4}"/>
    <cellStyle name="40% - Accent2 2 3 8" xfId="9629" xr:uid="{EDA1E811-52B9-4CA7-8E49-BFC497FF25A1}"/>
    <cellStyle name="40% - Accent2 2 3 9" xfId="8796" xr:uid="{BF92A23B-D011-42F1-810B-269D7DDB42F8}"/>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02" xr:uid="{421F7AD4-8A61-4C31-A361-BF180BAEF94A}"/>
    <cellStyle name="40% - Accent2 2 4 2 3" xfId="12185" xr:uid="{54C142E9-2ED9-4704-A332-F32E1EFC7C65}"/>
    <cellStyle name="40% - Accent2 2 4 3" xfId="4975" xr:uid="{00000000-0005-0000-0000-0000A2040000}"/>
    <cellStyle name="40% - Accent2 2 4 3 2" xfId="14257" xr:uid="{367CCDC5-1CAC-4EC4-A9EA-A02997B0F8B4}"/>
    <cellStyle name="40% - Accent2 2 4 4" xfId="10040" xr:uid="{AB580010-B98E-40E1-B731-CCFABB052217}"/>
    <cellStyle name="40% - Accent2 2 4 5" xfId="9210" xr:uid="{32573278-D6E8-4764-B189-4C1A1D32A443}"/>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15" xr:uid="{D3B522C0-BAD4-45B7-90C6-FE45DB683C1F}"/>
    <cellStyle name="40% - Accent2 2 5 2 3" xfId="12598" xr:uid="{D5A8CCAD-AFCC-45FB-9361-8FA6E70422CD}"/>
    <cellStyle name="40% - Accent2 2 5 3" xfId="5388" xr:uid="{00000000-0005-0000-0000-0000A6040000}"/>
    <cellStyle name="40% - Accent2 2 5 3 2" xfId="14670" xr:uid="{62B9DF7F-1ABE-4B53-8D49-9EAE97CF36BD}"/>
    <cellStyle name="40% - Accent2 2 5 4" xfId="10453" xr:uid="{583272B4-B6B6-4044-9D9A-D013A3D4F70B}"/>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28" xr:uid="{4757BE04-F428-47BB-A934-F3E2D27FA6CE}"/>
    <cellStyle name="40% - Accent2 2 6 2 3" xfId="13011" xr:uid="{FD682A28-5EC9-42BC-84CB-0102C203C90D}"/>
    <cellStyle name="40% - Accent2 2 6 3" xfId="5801" xr:uid="{00000000-0005-0000-0000-0000AA040000}"/>
    <cellStyle name="40% - Accent2 2 6 3 2" xfId="15083" xr:uid="{16A20869-332A-421B-ABD0-75248CB10E3C}"/>
    <cellStyle name="40% - Accent2 2 6 4" xfId="10866" xr:uid="{C94B4A8A-4636-4715-92BB-BF0A78A7AF63}"/>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41" xr:uid="{62A2883A-02A7-4AB5-9817-0C149864279F}"/>
    <cellStyle name="40% - Accent2 2 7 2 3" xfId="13424" xr:uid="{94027789-46D7-4336-ADD7-C374E4E9F2CD}"/>
    <cellStyle name="40% - Accent2 2 7 3" xfId="6214" xr:uid="{00000000-0005-0000-0000-0000AE040000}"/>
    <cellStyle name="40% - Accent2 2 7 3 2" xfId="15496" xr:uid="{3CDFCB0D-3CD9-4BF1-8192-2A9DFBB6EE76}"/>
    <cellStyle name="40% - Accent2 2 7 4" xfId="11279" xr:uid="{1BD78CA4-363D-4E00-9D16-0794C888E044}"/>
    <cellStyle name="40% - Accent2 2 8" xfId="2321" xr:uid="{00000000-0005-0000-0000-0000AF040000}"/>
    <cellStyle name="40% - Accent2 2 8 2" xfId="6627" xr:uid="{00000000-0005-0000-0000-0000B0040000}"/>
    <cellStyle name="40% - Accent2 2 8 2 2" xfId="15909" xr:uid="{9DDE80D6-CE19-4D19-A268-81B1A820F3C6}"/>
    <cellStyle name="40% - Accent2 2 8 3" xfId="11692" xr:uid="{4E2F94E7-CB56-4C04-8462-B6E48BCB6489}"/>
    <cellStyle name="40% - Accent2 2 9" xfId="4561" xr:uid="{00000000-0005-0000-0000-0000B1040000}"/>
    <cellStyle name="40% - Accent2 2 9 2" xfId="13843" xr:uid="{2B4E65C2-C2A8-4F83-B1CA-C0000DE8819E}"/>
    <cellStyle name="40% - Accent2 3" xfId="62" xr:uid="{00000000-0005-0000-0000-0000B2040000}"/>
    <cellStyle name="40% - Accent2 3 10" xfId="8797" xr:uid="{6A79D1EB-5FAE-4429-BCA7-E20615C1F761}"/>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07" xr:uid="{E41646F7-B4BB-4533-80B6-4E1E3C841281}"/>
    <cellStyle name="40% - Accent2 3 2 2 2 3" xfId="12190" xr:uid="{D9B83FD9-7D42-4296-9A1E-9E7B74B79CAB}"/>
    <cellStyle name="40% - Accent2 3 2 2 3" xfId="4980" xr:uid="{00000000-0005-0000-0000-0000B7040000}"/>
    <cellStyle name="40% - Accent2 3 2 2 3 2" xfId="14262" xr:uid="{6146CAB7-E077-4B61-93C4-CE995BA250D1}"/>
    <cellStyle name="40% - Accent2 3 2 2 4" xfId="10045" xr:uid="{F8A91795-5765-4980-BED3-F21D8EEABC22}"/>
    <cellStyle name="40% - Accent2 3 2 2 5" xfId="9215" xr:uid="{E4B48008-60B9-4159-8FCA-82D358B2482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20" xr:uid="{529C2DF2-4173-46C0-813B-5EA77A7ECBA0}"/>
    <cellStyle name="40% - Accent2 3 2 3 2 3" xfId="12603" xr:uid="{A1392F0C-2BA2-4878-BB2E-C0C35DB786DF}"/>
    <cellStyle name="40% - Accent2 3 2 3 3" xfId="5393" xr:uid="{00000000-0005-0000-0000-0000BB040000}"/>
    <cellStyle name="40% - Accent2 3 2 3 3 2" xfId="14675" xr:uid="{D8CC656A-5E33-480B-9061-0849285893A3}"/>
    <cellStyle name="40% - Accent2 3 2 3 4" xfId="10458" xr:uid="{EB133539-DDDC-436B-B1F0-82A4E11C371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33" xr:uid="{1D44EED3-A80D-4CD8-B166-206F331B969E}"/>
    <cellStyle name="40% - Accent2 3 2 4 2 3" xfId="13016" xr:uid="{E5708579-1398-4EFB-AB63-F14DAD329429}"/>
    <cellStyle name="40% - Accent2 3 2 4 3" xfId="5806" xr:uid="{00000000-0005-0000-0000-0000BF040000}"/>
    <cellStyle name="40% - Accent2 3 2 4 3 2" xfId="15088" xr:uid="{61E1764B-F877-42D4-9C32-EE957ABC5D8A}"/>
    <cellStyle name="40% - Accent2 3 2 4 4" xfId="10871" xr:uid="{4D4E3D60-3D41-4E38-98D9-74D2707BD92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46" xr:uid="{4D18C2E8-CA85-4FE4-8744-36B5F75A2131}"/>
    <cellStyle name="40% - Accent2 3 2 5 2 3" xfId="13429" xr:uid="{A1B8C4A4-78B5-49D2-8D43-BC7672533C14}"/>
    <cellStyle name="40% - Accent2 3 2 5 3" xfId="6219" xr:uid="{00000000-0005-0000-0000-0000C3040000}"/>
    <cellStyle name="40% - Accent2 3 2 5 3 2" xfId="15501" xr:uid="{B098F5C4-A0CB-40B5-8CC8-D2CD7AE77E9C}"/>
    <cellStyle name="40% - Accent2 3 2 5 4" xfId="11284" xr:uid="{82342C13-D24D-4A43-B350-296BD61D8CF9}"/>
    <cellStyle name="40% - Accent2 3 2 6" xfId="2326" xr:uid="{00000000-0005-0000-0000-0000C4040000}"/>
    <cellStyle name="40% - Accent2 3 2 6 2" xfId="6632" xr:uid="{00000000-0005-0000-0000-0000C5040000}"/>
    <cellStyle name="40% - Accent2 3 2 6 2 2" xfId="15914" xr:uid="{98B3DC38-0696-45ED-BA41-DD36E7BFEC76}"/>
    <cellStyle name="40% - Accent2 3 2 6 3" xfId="11697" xr:uid="{19A28899-C5CE-40B8-8864-09353A362AFE}"/>
    <cellStyle name="40% - Accent2 3 2 7" xfId="4566" xr:uid="{00000000-0005-0000-0000-0000C6040000}"/>
    <cellStyle name="40% - Accent2 3 2 7 2" xfId="13848" xr:uid="{046B1C91-3891-4440-A734-E96272A8E0AF}"/>
    <cellStyle name="40% - Accent2 3 2 8" xfId="9631" xr:uid="{0C682C7D-75B1-41AC-91DE-58D94CDA622B}"/>
    <cellStyle name="40% - Accent2 3 2 9" xfId="8798" xr:uid="{B2B3BA64-1003-482A-9E02-8362FDDD439B}"/>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06" xr:uid="{0FD49E87-E26A-40E2-894E-47CA9E997D23}"/>
    <cellStyle name="40% - Accent2 3 3 2 3" xfId="12189" xr:uid="{1BF7B40D-038D-4366-AA0C-419F25ADA991}"/>
    <cellStyle name="40% - Accent2 3 3 3" xfId="4979" xr:uid="{00000000-0005-0000-0000-0000CA040000}"/>
    <cellStyle name="40% - Accent2 3 3 3 2" xfId="14261" xr:uid="{C9B1F555-3466-4F80-AC06-5BABAF403C49}"/>
    <cellStyle name="40% - Accent2 3 3 4" xfId="10044" xr:uid="{B92D6EC1-DD1A-4FF9-8CC1-A9CF03BB743E}"/>
    <cellStyle name="40% - Accent2 3 3 5" xfId="9214" xr:uid="{A3069F57-52FA-4699-A138-84A205F8849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19" xr:uid="{9B603B75-5DB2-4A5D-849C-B945661E3855}"/>
    <cellStyle name="40% - Accent2 3 4 2 3" xfId="12602" xr:uid="{4ABD38B1-D2A6-4EC7-8CB1-6ED8B2ACCD44}"/>
    <cellStyle name="40% - Accent2 3 4 3" xfId="5392" xr:uid="{00000000-0005-0000-0000-0000CE040000}"/>
    <cellStyle name="40% - Accent2 3 4 3 2" xfId="14674" xr:uid="{CB7190B9-54A0-4945-9B20-00BADCDB6C04}"/>
    <cellStyle name="40% - Accent2 3 4 4" xfId="10457" xr:uid="{A5E1D0A0-651D-42EF-9E21-54D6205E8B5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32" xr:uid="{9ABEA6BD-3D2E-4A2A-9A78-55825B544667}"/>
    <cellStyle name="40% - Accent2 3 5 2 3" xfId="13015" xr:uid="{E5C10820-4DDB-40A5-BEC9-16835AE45AEF}"/>
    <cellStyle name="40% - Accent2 3 5 3" xfId="5805" xr:uid="{00000000-0005-0000-0000-0000D2040000}"/>
    <cellStyle name="40% - Accent2 3 5 3 2" xfId="15087" xr:uid="{B1AFB08A-2FC2-4806-989E-C82FF44A5CA5}"/>
    <cellStyle name="40% - Accent2 3 5 4" xfId="10870" xr:uid="{8B1207CF-BEBC-441A-93F1-A5A111D6C365}"/>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45" xr:uid="{83C3ACD4-E006-4AAA-98CD-839B692FD290}"/>
    <cellStyle name="40% - Accent2 3 6 2 3" xfId="13428" xr:uid="{81A9CD65-FA70-45B7-B94F-44F4CF142AB9}"/>
    <cellStyle name="40% - Accent2 3 6 3" xfId="6218" xr:uid="{00000000-0005-0000-0000-0000D6040000}"/>
    <cellStyle name="40% - Accent2 3 6 3 2" xfId="15500" xr:uid="{A7C6C38E-8AB2-475A-8CC8-13D244815DDA}"/>
    <cellStyle name="40% - Accent2 3 6 4" xfId="11283" xr:uid="{EFE8DDDE-D9E8-447D-97C8-CD8279886A60}"/>
    <cellStyle name="40% - Accent2 3 7" xfId="2325" xr:uid="{00000000-0005-0000-0000-0000D7040000}"/>
    <cellStyle name="40% - Accent2 3 7 2" xfId="6631" xr:uid="{00000000-0005-0000-0000-0000D8040000}"/>
    <cellStyle name="40% - Accent2 3 7 2 2" xfId="15913" xr:uid="{E0ABDB58-029C-4F9D-A510-7F37546959BB}"/>
    <cellStyle name="40% - Accent2 3 7 3" xfId="11696" xr:uid="{ECF3EC18-4308-4921-ADB7-1DDEA9ADB1E8}"/>
    <cellStyle name="40% - Accent2 3 8" xfId="4565" xr:uid="{00000000-0005-0000-0000-0000D9040000}"/>
    <cellStyle name="40% - Accent2 3 8 2" xfId="13847" xr:uid="{330F16F2-016F-4FB5-B572-58AF88A3E3BB}"/>
    <cellStyle name="40% - Accent2 3 9" xfId="9630" xr:uid="{DBE0467B-3309-4FE8-8194-3BFA412C7D4E}"/>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08" xr:uid="{14591BD3-FDEB-4AFD-819B-42F7D59D6B6E}"/>
    <cellStyle name="40% - Accent2 4 2 2 3" xfId="12191" xr:uid="{4CBA1C77-0A0A-4FD4-BA69-DABE66E4AE29}"/>
    <cellStyle name="40% - Accent2 4 2 3" xfId="4981" xr:uid="{00000000-0005-0000-0000-0000DE040000}"/>
    <cellStyle name="40% - Accent2 4 2 3 2" xfId="14263" xr:uid="{8136E259-5E69-42AE-B1A6-F831CF6B65FD}"/>
    <cellStyle name="40% - Accent2 4 2 4" xfId="10046" xr:uid="{35A8C710-4432-4BDA-9F7D-B512A53E6BBB}"/>
    <cellStyle name="40% - Accent2 4 2 5" xfId="9216" xr:uid="{103E4F28-F73D-49F0-810A-CBB8537E13A0}"/>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21" xr:uid="{106ED3A3-9754-4D30-9D38-CB6FB139E0BB}"/>
    <cellStyle name="40% - Accent2 4 3 2 3" xfId="12604" xr:uid="{0A033187-5E96-429A-8F90-E5AC1541CD30}"/>
    <cellStyle name="40% - Accent2 4 3 3" xfId="5394" xr:uid="{00000000-0005-0000-0000-0000E2040000}"/>
    <cellStyle name="40% - Accent2 4 3 3 2" xfId="14676" xr:uid="{69999EB6-3DA2-44B8-9682-B98363FF1D63}"/>
    <cellStyle name="40% - Accent2 4 3 4" xfId="10459" xr:uid="{FDB5AEDB-CB4B-4EEF-8556-84DBEA4D4FD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34" xr:uid="{5057C31F-A42B-43D2-B443-DF5FB74FE052}"/>
    <cellStyle name="40% - Accent2 4 4 2 3" xfId="13017" xr:uid="{D008F749-190B-4D80-8A87-A2E51C82CF15}"/>
    <cellStyle name="40% - Accent2 4 4 3" xfId="5807" xr:uid="{00000000-0005-0000-0000-0000E6040000}"/>
    <cellStyle name="40% - Accent2 4 4 3 2" xfId="15089" xr:uid="{655FC49A-BC7E-421F-9A7F-2E95864863FF}"/>
    <cellStyle name="40% - Accent2 4 4 4" xfId="10872" xr:uid="{13C9E7BF-2AD7-4F69-847A-C4C63927683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47" xr:uid="{3D0C4D6D-6ABC-44B4-AF01-E918CE054A4F}"/>
    <cellStyle name="40% - Accent2 4 5 2 3" xfId="13430" xr:uid="{ADE4EBA4-6AB3-46BF-A2A7-0F7ADC7AB5FF}"/>
    <cellStyle name="40% - Accent2 4 5 3" xfId="6220" xr:uid="{00000000-0005-0000-0000-0000EA040000}"/>
    <cellStyle name="40% - Accent2 4 5 3 2" xfId="15502" xr:uid="{3CB4ED3D-BA01-4536-A0CC-18ECF5F63A95}"/>
    <cellStyle name="40% - Accent2 4 5 4" xfId="11285" xr:uid="{C27430BA-57E8-4722-A7E2-132D5810B7F0}"/>
    <cellStyle name="40% - Accent2 4 6" xfId="2327" xr:uid="{00000000-0005-0000-0000-0000EB040000}"/>
    <cellStyle name="40% - Accent2 4 6 2" xfId="6633" xr:uid="{00000000-0005-0000-0000-0000EC040000}"/>
    <cellStyle name="40% - Accent2 4 6 2 2" xfId="15915" xr:uid="{F7879FA0-F0A1-4BCF-A5A6-A59ABBAB6D56}"/>
    <cellStyle name="40% - Accent2 4 6 3" xfId="11698" xr:uid="{0C345D6F-13F4-47C0-8808-AA9CDBAD1382}"/>
    <cellStyle name="40% - Accent2 4 7" xfId="4567" xr:uid="{00000000-0005-0000-0000-0000ED040000}"/>
    <cellStyle name="40% - Accent2 4 7 2" xfId="13849" xr:uid="{F1BFC1D7-39A6-4A4E-8EDE-4A840090F582}"/>
    <cellStyle name="40% - Accent2 4 8" xfId="9632" xr:uid="{48C61BF0-4EEE-4842-94D1-96132697EB6A}"/>
    <cellStyle name="40% - Accent2 4 9" xfId="8799" xr:uid="{F5A851EC-B36C-49A5-A12D-DC02191A653E}"/>
    <cellStyle name="40% - Accent2 5" xfId="626" xr:uid="{00000000-0005-0000-0000-0000EE040000}"/>
    <cellStyle name="40% - Accent2 5 2" xfId="2897" xr:uid="{00000000-0005-0000-0000-0000EF040000}"/>
    <cellStyle name="40% - Accent2 5 2 2" xfId="7119" xr:uid="{00000000-0005-0000-0000-0000F0040000}"/>
    <cellStyle name="40% - Accent2 5 2 2 2" xfId="16401" xr:uid="{9847852D-0B18-45B8-BBCE-54DD697578BC}"/>
    <cellStyle name="40% - Accent2 5 2 3" xfId="12184" xr:uid="{AD81796E-6D1C-4762-863B-09C9C327E280}"/>
    <cellStyle name="40% - Accent2 5 3" xfId="4974" xr:uid="{00000000-0005-0000-0000-0000F1040000}"/>
    <cellStyle name="40% - Accent2 5 3 2" xfId="14256" xr:uid="{7713FE58-39D7-43F8-BDA7-76F6ED19EDEB}"/>
    <cellStyle name="40% - Accent2 5 4" xfId="10039" xr:uid="{B81714E4-C715-4A52-9485-72D70852D4BB}"/>
    <cellStyle name="40% - Accent2 5 5" xfId="9209" xr:uid="{6CA56EE6-1086-4BA0-A97B-A78AA99785B7}"/>
    <cellStyle name="40% - Accent2 6" xfId="1079" xr:uid="{00000000-0005-0000-0000-0000F2040000}"/>
    <cellStyle name="40% - Accent2 6 2" xfId="3310" xr:uid="{00000000-0005-0000-0000-0000F3040000}"/>
    <cellStyle name="40% - Accent2 6 2 2" xfId="7532" xr:uid="{00000000-0005-0000-0000-0000F4040000}"/>
    <cellStyle name="40% - Accent2 6 2 2 2" xfId="16814" xr:uid="{64C33FB0-2536-4927-8DD3-48C2FCFB32F8}"/>
    <cellStyle name="40% - Accent2 6 2 3" xfId="12597" xr:uid="{67310DA2-06E1-46B0-821F-F488CFC35785}"/>
    <cellStyle name="40% - Accent2 6 3" xfId="5387" xr:uid="{00000000-0005-0000-0000-0000F5040000}"/>
    <cellStyle name="40% - Accent2 6 3 2" xfId="14669" xr:uid="{158F6E58-B1A8-4CFF-868D-29A4661FD418}"/>
    <cellStyle name="40% - Accent2 6 4" xfId="10452" xr:uid="{EEFC2C45-93C2-4E31-9F0E-77E6B2DA406B}"/>
    <cellStyle name="40% - Accent2 7" xfId="1493" xr:uid="{00000000-0005-0000-0000-0000F6040000}"/>
    <cellStyle name="40% - Accent2 7 2" xfId="3723" xr:uid="{00000000-0005-0000-0000-0000F7040000}"/>
    <cellStyle name="40% - Accent2 7 2 2" xfId="7945" xr:uid="{00000000-0005-0000-0000-0000F8040000}"/>
    <cellStyle name="40% - Accent2 7 2 2 2" xfId="17227" xr:uid="{BCDD0978-14F5-4420-A933-F0369BB87227}"/>
    <cellStyle name="40% - Accent2 7 2 3" xfId="13010" xr:uid="{2D6AD4F8-0D24-40EC-842A-F11B40B40545}"/>
    <cellStyle name="40% - Accent2 7 3" xfId="5800" xr:uid="{00000000-0005-0000-0000-0000F9040000}"/>
    <cellStyle name="40% - Accent2 7 3 2" xfId="15082" xr:uid="{2B110485-E474-49A5-BFD0-96A9F4F95087}"/>
    <cellStyle name="40% - Accent2 7 4" xfId="10865" xr:uid="{B1C399E7-6C07-4F2E-BDF5-280B662746D2}"/>
    <cellStyle name="40% - Accent2 8" xfId="1907" xr:uid="{00000000-0005-0000-0000-0000FA040000}"/>
    <cellStyle name="40% - Accent2 8 2" xfId="4136" xr:uid="{00000000-0005-0000-0000-0000FB040000}"/>
    <cellStyle name="40% - Accent2 8 2 2" xfId="8358" xr:uid="{00000000-0005-0000-0000-0000FC040000}"/>
    <cellStyle name="40% - Accent2 8 2 2 2" xfId="17640" xr:uid="{FEDF6341-684D-44D2-A910-5D71DC6D5A7E}"/>
    <cellStyle name="40% - Accent2 8 2 3" xfId="13423" xr:uid="{A39C2EF0-58C1-4EE0-B3F9-53F940B4B484}"/>
    <cellStyle name="40% - Accent2 8 3" xfId="6213" xr:uid="{00000000-0005-0000-0000-0000FD040000}"/>
    <cellStyle name="40% - Accent2 8 3 2" xfId="15495" xr:uid="{90187896-48F8-4228-91AD-B459A8310334}"/>
    <cellStyle name="40% - Accent2 8 4" xfId="11278" xr:uid="{82E20437-2423-47C5-BAC5-42CF9F518277}"/>
    <cellStyle name="40% - Accent2 9" xfId="2320" xr:uid="{00000000-0005-0000-0000-0000FE040000}"/>
    <cellStyle name="40% - Accent2 9 2" xfId="6626" xr:uid="{00000000-0005-0000-0000-0000FF040000}"/>
    <cellStyle name="40% - Accent2 9 2 2" xfId="15908" xr:uid="{4823D877-04DD-4D5C-BC72-D30DFF621742}"/>
    <cellStyle name="40% - Accent2 9 3" xfId="11691" xr:uid="{C976A682-CF88-4CDA-8B6A-E5F959D1FD97}"/>
    <cellStyle name="40% - Accent3" xfId="65" builtinId="39" customBuiltin="1"/>
    <cellStyle name="40% - Accent3 10" xfId="4568" xr:uid="{00000000-0005-0000-0000-000001050000}"/>
    <cellStyle name="40% - Accent3 10 2" xfId="13850" xr:uid="{FE13C2B6-985F-4EA3-990D-64006B3B6CE2}"/>
    <cellStyle name="40% - Accent3 11" xfId="9633" xr:uid="{313FB7EB-E583-4559-8944-C08CDA588742}"/>
    <cellStyle name="40% - Accent3 12" xfId="8800" xr:uid="{975D138B-45F0-4927-A6AA-DA6717BAC7BF}"/>
    <cellStyle name="40% - Accent3 2" xfId="66" xr:uid="{00000000-0005-0000-0000-000002050000}"/>
    <cellStyle name="40% - Accent3 2 10" xfId="9634" xr:uid="{9EFC3A8C-249F-43B8-A8AF-2A26AF33DF79}"/>
    <cellStyle name="40% - Accent3 2 11" xfId="8801" xr:uid="{B5B77263-E542-4EE3-BD7F-B5CC71723471}"/>
    <cellStyle name="40% - Accent3 2 2" xfId="67" xr:uid="{00000000-0005-0000-0000-000003050000}"/>
    <cellStyle name="40% - Accent3 2 2 10" xfId="8802" xr:uid="{2F60EA86-0AC7-4DF2-BE8A-6A79B1AA3B71}"/>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12" xr:uid="{21FF4D14-9EF0-4876-B636-460C1829AC37}"/>
    <cellStyle name="40% - Accent3 2 2 2 2 2 3" xfId="12195" xr:uid="{85904D17-888D-42B6-9BFB-023F92A5DDAF}"/>
    <cellStyle name="40% - Accent3 2 2 2 2 3" xfId="4985" xr:uid="{00000000-0005-0000-0000-000008050000}"/>
    <cellStyle name="40% - Accent3 2 2 2 2 3 2" xfId="14267" xr:uid="{69C45A78-A96A-47E5-934B-44BB7169C956}"/>
    <cellStyle name="40% - Accent3 2 2 2 2 4" xfId="10050" xr:uid="{A46C0A1D-65A5-43E8-B070-658FB58D39E2}"/>
    <cellStyle name="40% - Accent3 2 2 2 2 5" xfId="9220" xr:uid="{B79C5AD6-A1EF-4554-81B5-D508872C0A0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25" xr:uid="{0F99D4B0-0FBA-4484-B86D-BDC80E1A1181}"/>
    <cellStyle name="40% - Accent3 2 2 2 3 2 3" xfId="12608" xr:uid="{CED3DC54-FA06-41FB-80F5-C58C9CAE77D9}"/>
    <cellStyle name="40% - Accent3 2 2 2 3 3" xfId="5398" xr:uid="{00000000-0005-0000-0000-00000C050000}"/>
    <cellStyle name="40% - Accent3 2 2 2 3 3 2" xfId="14680" xr:uid="{C8EFD570-078A-47B4-B7E4-31418B8C6FA0}"/>
    <cellStyle name="40% - Accent3 2 2 2 3 4" xfId="10463" xr:uid="{A6EAC462-A2C9-4E89-93D8-EA91DBEC87CF}"/>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38" xr:uid="{FFAC623F-C8C6-41D8-9B07-C53C342B9A5E}"/>
    <cellStyle name="40% - Accent3 2 2 2 4 2 3" xfId="13021" xr:uid="{AE51AEDB-C0E1-4420-9F31-DEBF3BF1AC68}"/>
    <cellStyle name="40% - Accent3 2 2 2 4 3" xfId="5811" xr:uid="{00000000-0005-0000-0000-000010050000}"/>
    <cellStyle name="40% - Accent3 2 2 2 4 3 2" xfId="15093" xr:uid="{A7CF8BF2-C6B1-4888-8F4A-BED7FCAA5ED7}"/>
    <cellStyle name="40% - Accent3 2 2 2 4 4" xfId="10876" xr:uid="{AFF1C276-8564-4FB8-977F-B9C50BE435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51" xr:uid="{E4CC792F-ABC0-4AC7-815B-3B8328E7405D}"/>
    <cellStyle name="40% - Accent3 2 2 2 5 2 3" xfId="13434" xr:uid="{FC9F91D6-7C0F-489C-89B3-B28EE7C0168C}"/>
    <cellStyle name="40% - Accent3 2 2 2 5 3" xfId="6224" xr:uid="{00000000-0005-0000-0000-000014050000}"/>
    <cellStyle name="40% - Accent3 2 2 2 5 3 2" xfId="15506" xr:uid="{7221EEAD-1B97-4E02-A843-2BEC50B5F013}"/>
    <cellStyle name="40% - Accent3 2 2 2 5 4" xfId="11289" xr:uid="{76AA1C37-A91F-4D31-B4AD-B068B912AF17}"/>
    <cellStyle name="40% - Accent3 2 2 2 6" xfId="2331" xr:uid="{00000000-0005-0000-0000-000015050000}"/>
    <cellStyle name="40% - Accent3 2 2 2 6 2" xfId="6637" xr:uid="{00000000-0005-0000-0000-000016050000}"/>
    <cellStyle name="40% - Accent3 2 2 2 6 2 2" xfId="15919" xr:uid="{966566BD-B31D-4C73-B682-73E248438FB9}"/>
    <cellStyle name="40% - Accent3 2 2 2 6 3" xfId="11702" xr:uid="{7361B908-374A-4336-BAF1-32D72E50503C}"/>
    <cellStyle name="40% - Accent3 2 2 2 7" xfId="4571" xr:uid="{00000000-0005-0000-0000-000017050000}"/>
    <cellStyle name="40% - Accent3 2 2 2 7 2" xfId="13853" xr:uid="{B465F9C4-3F2C-435A-923B-3C989F3F5429}"/>
    <cellStyle name="40% - Accent3 2 2 2 8" xfId="9636" xr:uid="{E2493331-BDE7-4BF4-94AA-D9AAE31436D1}"/>
    <cellStyle name="40% - Accent3 2 2 2 9" xfId="8803" xr:uid="{F2DBB80A-B015-470C-BB0D-0CE6BBCB1F9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11" xr:uid="{03C7B6EA-81BC-4DB2-BBA7-5548442FAB3B}"/>
    <cellStyle name="40% - Accent3 2 2 3 2 3" xfId="12194" xr:uid="{A8EDC3EB-D62F-44B8-936E-6A5E06FEC8E2}"/>
    <cellStyle name="40% - Accent3 2 2 3 3" xfId="4984" xr:uid="{00000000-0005-0000-0000-00001B050000}"/>
    <cellStyle name="40% - Accent3 2 2 3 3 2" xfId="14266" xr:uid="{9A395FCD-9CFC-4A30-B1E8-4846E879302D}"/>
    <cellStyle name="40% - Accent3 2 2 3 4" xfId="10049" xr:uid="{69E76F3C-E1B3-4CBF-A5D5-417BAC46EFB4}"/>
    <cellStyle name="40% - Accent3 2 2 3 5" xfId="9219" xr:uid="{04E9ADA2-1B40-40A2-A3BB-D674AD5AADE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24" xr:uid="{6779816B-37B1-43D5-A37E-3D5D4B455CD6}"/>
    <cellStyle name="40% - Accent3 2 2 4 2 3" xfId="12607" xr:uid="{36468190-450B-4511-A684-DC1B78B7F18A}"/>
    <cellStyle name="40% - Accent3 2 2 4 3" xfId="5397" xr:uid="{00000000-0005-0000-0000-00001F050000}"/>
    <cellStyle name="40% - Accent3 2 2 4 3 2" xfId="14679" xr:uid="{63DF04CA-1AED-4334-84F3-126D1FDF1117}"/>
    <cellStyle name="40% - Accent3 2 2 4 4" xfId="10462" xr:uid="{1F14FCF6-A126-4CAB-B610-A001E45CFC90}"/>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37" xr:uid="{B705A65E-C437-4D2E-92A3-AD037567CB9C}"/>
    <cellStyle name="40% - Accent3 2 2 5 2 3" xfId="13020" xr:uid="{976CA351-E2E5-45A7-B46A-4C3941395F8D}"/>
    <cellStyle name="40% - Accent3 2 2 5 3" xfId="5810" xr:uid="{00000000-0005-0000-0000-000023050000}"/>
    <cellStyle name="40% - Accent3 2 2 5 3 2" xfId="15092" xr:uid="{8121C83A-41DA-4294-B38F-7705654C8C4A}"/>
    <cellStyle name="40% - Accent3 2 2 5 4" xfId="10875" xr:uid="{3AD6AAFE-AAEE-4252-A0E1-C7D9D1C05F5F}"/>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50" xr:uid="{6D4F0E4A-2533-4544-916A-71A50B93CB83}"/>
    <cellStyle name="40% - Accent3 2 2 6 2 3" xfId="13433" xr:uid="{1DDA0EBE-271A-461E-8952-2E5CB0356BC0}"/>
    <cellStyle name="40% - Accent3 2 2 6 3" xfId="6223" xr:uid="{00000000-0005-0000-0000-000027050000}"/>
    <cellStyle name="40% - Accent3 2 2 6 3 2" xfId="15505" xr:uid="{8EC8790D-4783-4F37-876F-D61E44FACFF2}"/>
    <cellStyle name="40% - Accent3 2 2 6 4" xfId="11288" xr:uid="{7C69309D-3DE0-422D-9A99-DCF7EA70F461}"/>
    <cellStyle name="40% - Accent3 2 2 7" xfId="2330" xr:uid="{00000000-0005-0000-0000-000028050000}"/>
    <cellStyle name="40% - Accent3 2 2 7 2" xfId="6636" xr:uid="{00000000-0005-0000-0000-000029050000}"/>
    <cellStyle name="40% - Accent3 2 2 7 2 2" xfId="15918" xr:uid="{376E155C-C10B-4876-A9ED-6685AC277F3C}"/>
    <cellStyle name="40% - Accent3 2 2 7 3" xfId="11701" xr:uid="{0C3B82B3-1580-4118-9F94-B5022F7E45CE}"/>
    <cellStyle name="40% - Accent3 2 2 8" xfId="4570" xr:uid="{00000000-0005-0000-0000-00002A050000}"/>
    <cellStyle name="40% - Accent3 2 2 8 2" xfId="13852" xr:uid="{0F5AD722-3FA3-46E8-A7F5-5ED9CE9E4EAB}"/>
    <cellStyle name="40% - Accent3 2 2 9" xfId="9635" xr:uid="{7EBEC005-EBD7-46C5-9AF1-168F7191DC25}"/>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13" xr:uid="{94DE850B-1953-441B-B503-C0FE1BDC99C4}"/>
    <cellStyle name="40% - Accent3 2 3 2 2 3" xfId="12196" xr:uid="{A8383AB0-97A3-4FA9-ADFA-E2879A63E4B8}"/>
    <cellStyle name="40% - Accent3 2 3 2 3" xfId="4986" xr:uid="{00000000-0005-0000-0000-00002F050000}"/>
    <cellStyle name="40% - Accent3 2 3 2 3 2" xfId="14268" xr:uid="{82E31854-B707-40BC-8875-FBD66E1BB26E}"/>
    <cellStyle name="40% - Accent3 2 3 2 4" xfId="10051" xr:uid="{62C01606-2AA0-4EB1-BF30-5E3EF4A782E8}"/>
    <cellStyle name="40% - Accent3 2 3 2 5" xfId="9221" xr:uid="{719ED2E7-9DA3-4368-B132-F77E2AE924C0}"/>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26" xr:uid="{DD4256D5-4C19-454E-BA2E-201ED02FAF98}"/>
    <cellStyle name="40% - Accent3 2 3 3 2 3" xfId="12609" xr:uid="{0D4D585B-033A-4058-928F-AFE56C5B140D}"/>
    <cellStyle name="40% - Accent3 2 3 3 3" xfId="5399" xr:uid="{00000000-0005-0000-0000-000033050000}"/>
    <cellStyle name="40% - Accent3 2 3 3 3 2" xfId="14681" xr:uid="{7687E759-0E3D-4E9A-827B-CEB6CCBDAC77}"/>
    <cellStyle name="40% - Accent3 2 3 3 4" xfId="10464" xr:uid="{209B4704-D1B4-48AB-8843-5C36F93EC196}"/>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39" xr:uid="{CD2EC951-0F43-417C-98E4-1A00423252A6}"/>
    <cellStyle name="40% - Accent3 2 3 4 2 3" xfId="13022" xr:uid="{C9F881C7-25C6-4F5D-97B4-35E5A848A16B}"/>
    <cellStyle name="40% - Accent3 2 3 4 3" xfId="5812" xr:uid="{00000000-0005-0000-0000-000037050000}"/>
    <cellStyle name="40% - Accent3 2 3 4 3 2" xfId="15094" xr:uid="{D9566231-DC0F-4F97-849E-2E112F180F11}"/>
    <cellStyle name="40% - Accent3 2 3 4 4" xfId="10877" xr:uid="{B09C11D0-0CBF-438E-9F45-4C6AEB025F52}"/>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52" xr:uid="{43CEA2E7-6A1E-49B5-907D-D7F10F10ACB5}"/>
    <cellStyle name="40% - Accent3 2 3 5 2 3" xfId="13435" xr:uid="{EF3E1218-93A2-4387-86A7-BDE6D51B0411}"/>
    <cellStyle name="40% - Accent3 2 3 5 3" xfId="6225" xr:uid="{00000000-0005-0000-0000-00003B050000}"/>
    <cellStyle name="40% - Accent3 2 3 5 3 2" xfId="15507" xr:uid="{237AC533-9025-47B5-A379-0DBEEDC00D9D}"/>
    <cellStyle name="40% - Accent3 2 3 5 4" xfId="11290" xr:uid="{61109E38-FB22-439C-8B7A-85458D9E3C00}"/>
    <cellStyle name="40% - Accent3 2 3 6" xfId="2332" xr:uid="{00000000-0005-0000-0000-00003C050000}"/>
    <cellStyle name="40% - Accent3 2 3 6 2" xfId="6638" xr:uid="{00000000-0005-0000-0000-00003D050000}"/>
    <cellStyle name="40% - Accent3 2 3 6 2 2" xfId="15920" xr:uid="{D870A3A8-5465-4351-AC7E-E61A7592AF74}"/>
    <cellStyle name="40% - Accent3 2 3 6 3" xfId="11703" xr:uid="{9C66DFB9-E505-4FCC-802B-40F6000DA467}"/>
    <cellStyle name="40% - Accent3 2 3 7" xfId="4572" xr:uid="{00000000-0005-0000-0000-00003E050000}"/>
    <cellStyle name="40% - Accent3 2 3 7 2" xfId="13854" xr:uid="{13F8E2F1-645D-47E1-B151-94840446DF07}"/>
    <cellStyle name="40% - Accent3 2 3 8" xfId="9637" xr:uid="{E518602C-4087-484F-BA56-E8976C98EDD9}"/>
    <cellStyle name="40% - Accent3 2 3 9" xfId="8804" xr:uid="{8EA4C924-658E-4343-B77E-2D2E7D8B49EF}"/>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10" xr:uid="{C416C30C-4088-4673-A6B9-DA5F7BA38045}"/>
    <cellStyle name="40% - Accent3 2 4 2 3" xfId="12193" xr:uid="{7C18F76B-9118-42E9-ABAC-294004D814CC}"/>
    <cellStyle name="40% - Accent3 2 4 3" xfId="4983" xr:uid="{00000000-0005-0000-0000-000042050000}"/>
    <cellStyle name="40% - Accent3 2 4 3 2" xfId="14265" xr:uid="{02B33067-64ED-4039-9CFA-31C67F41F634}"/>
    <cellStyle name="40% - Accent3 2 4 4" xfId="10048" xr:uid="{F214CD31-ECEF-464F-86F2-9FBB8EF4C071}"/>
    <cellStyle name="40% - Accent3 2 4 5" xfId="9218" xr:uid="{3D883C5A-09E3-48AD-B8D8-6DD975CE1A4B}"/>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23" xr:uid="{810A3AD0-E9B3-4955-A23B-D27EA9D28561}"/>
    <cellStyle name="40% - Accent3 2 5 2 3" xfId="12606" xr:uid="{E3A867ED-2A0E-423A-9989-13D220F42B72}"/>
    <cellStyle name="40% - Accent3 2 5 3" xfId="5396" xr:uid="{00000000-0005-0000-0000-000046050000}"/>
    <cellStyle name="40% - Accent3 2 5 3 2" xfId="14678" xr:uid="{83A3C1D7-6605-4F87-A0BB-501A09E49CC1}"/>
    <cellStyle name="40% - Accent3 2 5 4" xfId="10461" xr:uid="{9687693F-197E-4FE0-8514-6EAFFCCE6CD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36" xr:uid="{69D4C292-93EB-49D2-8F05-F0817AFF5362}"/>
    <cellStyle name="40% - Accent3 2 6 2 3" xfId="13019" xr:uid="{41558288-7B95-44E8-89BC-B6C9CC1E0AC3}"/>
    <cellStyle name="40% - Accent3 2 6 3" xfId="5809" xr:uid="{00000000-0005-0000-0000-00004A050000}"/>
    <cellStyle name="40% - Accent3 2 6 3 2" xfId="15091" xr:uid="{670B8A35-6D04-4AB6-9F8D-788AE25FF025}"/>
    <cellStyle name="40% - Accent3 2 6 4" xfId="10874" xr:uid="{2035AF38-F98B-4607-9906-016E69EBFC3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49" xr:uid="{562F5E2F-20CA-4F33-9BB7-2A888D7D4D33}"/>
    <cellStyle name="40% - Accent3 2 7 2 3" xfId="13432" xr:uid="{227A99BE-F45E-418B-952A-DD36EE0ED3D4}"/>
    <cellStyle name="40% - Accent3 2 7 3" xfId="6222" xr:uid="{00000000-0005-0000-0000-00004E050000}"/>
    <cellStyle name="40% - Accent3 2 7 3 2" xfId="15504" xr:uid="{7DA82D92-E3C4-4AA0-B49E-2EA526F5C221}"/>
    <cellStyle name="40% - Accent3 2 7 4" xfId="11287" xr:uid="{9A09FC81-B01A-460C-A41C-5A58132BFCC8}"/>
    <cellStyle name="40% - Accent3 2 8" xfId="2329" xr:uid="{00000000-0005-0000-0000-00004F050000}"/>
    <cellStyle name="40% - Accent3 2 8 2" xfId="6635" xr:uid="{00000000-0005-0000-0000-000050050000}"/>
    <cellStyle name="40% - Accent3 2 8 2 2" xfId="15917" xr:uid="{2D36B620-358B-4AA9-AEDD-5560C5536F89}"/>
    <cellStyle name="40% - Accent3 2 8 3" xfId="11700" xr:uid="{9F079B32-1A09-4518-9D15-F83CA5AD1730}"/>
    <cellStyle name="40% - Accent3 2 9" xfId="4569" xr:uid="{00000000-0005-0000-0000-000051050000}"/>
    <cellStyle name="40% - Accent3 2 9 2" xfId="13851" xr:uid="{C117A5F2-40EA-4FB0-A549-C3E7E9E7009F}"/>
    <cellStyle name="40% - Accent3 3" xfId="70" xr:uid="{00000000-0005-0000-0000-000052050000}"/>
    <cellStyle name="40% - Accent3 3 10" xfId="8805" xr:uid="{DF76B209-D44A-46C9-A78E-CA8E8231AE9C}"/>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15" xr:uid="{FF5A1147-FDCC-47FA-83C1-DB4891914327}"/>
    <cellStyle name="40% - Accent3 3 2 2 2 3" xfId="12198" xr:uid="{A46D28F9-764A-42E6-8910-1D9167757A9C}"/>
    <cellStyle name="40% - Accent3 3 2 2 3" xfId="4988" xr:uid="{00000000-0005-0000-0000-000057050000}"/>
    <cellStyle name="40% - Accent3 3 2 2 3 2" xfId="14270" xr:uid="{BA6FDA9B-89B1-4D44-8A5F-638EBF9D860B}"/>
    <cellStyle name="40% - Accent3 3 2 2 4" xfId="10053" xr:uid="{EC87B610-904F-48C2-8FB6-6EADF495E29E}"/>
    <cellStyle name="40% - Accent3 3 2 2 5" xfId="9223" xr:uid="{5A557C37-4EE3-486C-82DF-418A7571182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28" xr:uid="{86366607-7E0B-4092-8AC2-CCA08E330A37}"/>
    <cellStyle name="40% - Accent3 3 2 3 2 3" xfId="12611" xr:uid="{048BE34D-C0CB-43C6-A455-08F72BA01FB4}"/>
    <cellStyle name="40% - Accent3 3 2 3 3" xfId="5401" xr:uid="{00000000-0005-0000-0000-00005B050000}"/>
    <cellStyle name="40% - Accent3 3 2 3 3 2" xfId="14683" xr:uid="{6D3E6655-531B-483B-AE65-D0BFDF3A15A7}"/>
    <cellStyle name="40% - Accent3 3 2 3 4" xfId="10466" xr:uid="{C37D105F-D42E-416F-B121-6971CFD1ABB2}"/>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41" xr:uid="{965571C4-CF05-46ED-8C2A-07327C2A2E74}"/>
    <cellStyle name="40% - Accent3 3 2 4 2 3" xfId="13024" xr:uid="{BC0A24D0-5F39-448B-B50F-B8EA25827CC2}"/>
    <cellStyle name="40% - Accent3 3 2 4 3" xfId="5814" xr:uid="{00000000-0005-0000-0000-00005F050000}"/>
    <cellStyle name="40% - Accent3 3 2 4 3 2" xfId="15096" xr:uid="{E58C23A0-A65F-49E0-A634-DA6189EDD3F7}"/>
    <cellStyle name="40% - Accent3 3 2 4 4" xfId="10879" xr:uid="{DF8EB2F5-4817-41CA-9195-09FB523985BD}"/>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54" xr:uid="{5CDF47F9-7A9A-4E8B-8789-CE6BAE83D2C2}"/>
    <cellStyle name="40% - Accent3 3 2 5 2 3" xfId="13437" xr:uid="{0A3FF9FE-6B8A-4DB3-804B-4AC2D392BCB4}"/>
    <cellStyle name="40% - Accent3 3 2 5 3" xfId="6227" xr:uid="{00000000-0005-0000-0000-000063050000}"/>
    <cellStyle name="40% - Accent3 3 2 5 3 2" xfId="15509" xr:uid="{49CEBB1A-F391-4508-95A6-C408FAD8783C}"/>
    <cellStyle name="40% - Accent3 3 2 5 4" xfId="11292" xr:uid="{F9D5F924-86F5-4FDC-8EEA-C3FA8AB672D7}"/>
    <cellStyle name="40% - Accent3 3 2 6" xfId="2334" xr:uid="{00000000-0005-0000-0000-000064050000}"/>
    <cellStyle name="40% - Accent3 3 2 6 2" xfId="6640" xr:uid="{00000000-0005-0000-0000-000065050000}"/>
    <cellStyle name="40% - Accent3 3 2 6 2 2" xfId="15922" xr:uid="{2A95F59E-967F-4AD0-8070-CC4F28BFC65E}"/>
    <cellStyle name="40% - Accent3 3 2 6 3" xfId="11705" xr:uid="{B16A066E-C69C-4FCB-B151-19C6E5A2E94C}"/>
    <cellStyle name="40% - Accent3 3 2 7" xfId="4574" xr:uid="{00000000-0005-0000-0000-000066050000}"/>
    <cellStyle name="40% - Accent3 3 2 7 2" xfId="13856" xr:uid="{259F27F1-D5EC-43A4-91DA-24BD652DAB2E}"/>
    <cellStyle name="40% - Accent3 3 2 8" xfId="9639" xr:uid="{3240E2B2-0519-4CC8-B87A-E181807EF21C}"/>
    <cellStyle name="40% - Accent3 3 2 9" xfId="8806" xr:uid="{C1599DDD-4262-4D88-8BF7-3A977FCA2C0A}"/>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14" xr:uid="{283E3B22-FA6C-4162-9A82-C5E6C59897EF}"/>
    <cellStyle name="40% - Accent3 3 3 2 3" xfId="12197" xr:uid="{BF826C1A-0AAC-4DDD-9139-ED4680DA10FE}"/>
    <cellStyle name="40% - Accent3 3 3 3" xfId="4987" xr:uid="{00000000-0005-0000-0000-00006A050000}"/>
    <cellStyle name="40% - Accent3 3 3 3 2" xfId="14269" xr:uid="{ED01E4FE-7838-4B9D-A299-F9C26475E2E9}"/>
    <cellStyle name="40% - Accent3 3 3 4" xfId="10052" xr:uid="{B7B40AEB-C219-484F-8946-CDC1A422F9A8}"/>
    <cellStyle name="40% - Accent3 3 3 5" xfId="9222" xr:uid="{30892BA4-D0E2-43E5-B4A5-77628C774413}"/>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27" xr:uid="{644A4F1C-9404-4189-843D-742103C61EB9}"/>
    <cellStyle name="40% - Accent3 3 4 2 3" xfId="12610" xr:uid="{4927CC9D-1E66-4110-942F-7ADCB2665656}"/>
    <cellStyle name="40% - Accent3 3 4 3" xfId="5400" xr:uid="{00000000-0005-0000-0000-00006E050000}"/>
    <cellStyle name="40% - Accent3 3 4 3 2" xfId="14682" xr:uid="{676109D8-F1FB-4751-9DBA-45E0DA03C5E2}"/>
    <cellStyle name="40% - Accent3 3 4 4" xfId="10465" xr:uid="{1EF6494C-CD2E-4AF5-914A-2B77077DB680}"/>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40" xr:uid="{0ACA7466-CE55-47E5-A0D8-A21AB20FDF81}"/>
    <cellStyle name="40% - Accent3 3 5 2 3" xfId="13023" xr:uid="{17EFCCC8-57B1-4352-AF70-998637CAE463}"/>
    <cellStyle name="40% - Accent3 3 5 3" xfId="5813" xr:uid="{00000000-0005-0000-0000-000072050000}"/>
    <cellStyle name="40% - Accent3 3 5 3 2" xfId="15095" xr:uid="{BA73BB2C-6577-4D10-9F4F-5BCDE55E2D56}"/>
    <cellStyle name="40% - Accent3 3 5 4" xfId="10878" xr:uid="{F65FCDD3-7397-47D0-BCC8-0E2DA7394813}"/>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53" xr:uid="{866632C6-EB6E-4385-A72A-85532834B2EE}"/>
    <cellStyle name="40% - Accent3 3 6 2 3" xfId="13436" xr:uid="{22045CFD-A7D1-4BC3-8A32-A1F7411125C3}"/>
    <cellStyle name="40% - Accent3 3 6 3" xfId="6226" xr:uid="{00000000-0005-0000-0000-000076050000}"/>
    <cellStyle name="40% - Accent3 3 6 3 2" xfId="15508" xr:uid="{3D2E8127-A0F4-40C5-B36C-ACBB786F8AC0}"/>
    <cellStyle name="40% - Accent3 3 6 4" xfId="11291" xr:uid="{50E63F80-7DAC-41D3-9DC2-C31963F239CA}"/>
    <cellStyle name="40% - Accent3 3 7" xfId="2333" xr:uid="{00000000-0005-0000-0000-000077050000}"/>
    <cellStyle name="40% - Accent3 3 7 2" xfId="6639" xr:uid="{00000000-0005-0000-0000-000078050000}"/>
    <cellStyle name="40% - Accent3 3 7 2 2" xfId="15921" xr:uid="{803778EB-6805-4A22-A4E5-6F783212E279}"/>
    <cellStyle name="40% - Accent3 3 7 3" xfId="11704" xr:uid="{2214B57E-0410-4E37-A939-DC15D77869F8}"/>
    <cellStyle name="40% - Accent3 3 8" xfId="4573" xr:uid="{00000000-0005-0000-0000-000079050000}"/>
    <cellStyle name="40% - Accent3 3 8 2" xfId="13855" xr:uid="{4F09F472-B1ED-498A-AF14-106CD39E9620}"/>
    <cellStyle name="40% - Accent3 3 9" xfId="9638" xr:uid="{76CA81C3-34BB-45BA-8485-EEF52ED16559}"/>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16" xr:uid="{FCBB0F17-7D15-4050-BB6F-C1497139D11D}"/>
    <cellStyle name="40% - Accent3 4 2 2 3" xfId="12199" xr:uid="{C9EF4BCD-7E15-40F3-ABDF-998D262B9177}"/>
    <cellStyle name="40% - Accent3 4 2 3" xfId="4989" xr:uid="{00000000-0005-0000-0000-00007E050000}"/>
    <cellStyle name="40% - Accent3 4 2 3 2" xfId="14271" xr:uid="{077E824A-2417-4786-AD72-1624F842F955}"/>
    <cellStyle name="40% - Accent3 4 2 4" xfId="10054" xr:uid="{CBCC3B7C-40A8-4D19-BD7F-EBF7EA0FB306}"/>
    <cellStyle name="40% - Accent3 4 2 5" xfId="9224" xr:uid="{84095178-48AD-4015-A151-1290A46DE380}"/>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29" xr:uid="{F66DD6C4-A3B4-4F09-A0B6-215DBF9F90F6}"/>
    <cellStyle name="40% - Accent3 4 3 2 3" xfId="12612" xr:uid="{4DA93DD8-A825-46B0-8D19-A7BD9DC73051}"/>
    <cellStyle name="40% - Accent3 4 3 3" xfId="5402" xr:uid="{00000000-0005-0000-0000-000082050000}"/>
    <cellStyle name="40% - Accent3 4 3 3 2" xfId="14684" xr:uid="{8D29CA7B-422C-4674-89A2-FB6E0C61FB48}"/>
    <cellStyle name="40% - Accent3 4 3 4" xfId="10467" xr:uid="{C2585042-4160-4091-BA8A-8B3C73ABDCE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42" xr:uid="{24A2B10D-E7E4-4B80-A1FC-AFE22240187C}"/>
    <cellStyle name="40% - Accent3 4 4 2 3" xfId="13025" xr:uid="{0E32D492-D045-458E-8C98-48C7E413CD85}"/>
    <cellStyle name="40% - Accent3 4 4 3" xfId="5815" xr:uid="{00000000-0005-0000-0000-000086050000}"/>
    <cellStyle name="40% - Accent3 4 4 3 2" xfId="15097" xr:uid="{EFBAA6BF-57B5-44A0-9A52-4CCE41655227}"/>
    <cellStyle name="40% - Accent3 4 4 4" xfId="10880" xr:uid="{5E50B22D-1B32-4B65-BAD9-C7D82CD2FBAD}"/>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55" xr:uid="{CF35B02D-7D3F-4BF8-B3EB-662011D0B41E}"/>
    <cellStyle name="40% - Accent3 4 5 2 3" xfId="13438" xr:uid="{CD05AD88-6E58-4CBF-9D18-636E985F9DF7}"/>
    <cellStyle name="40% - Accent3 4 5 3" xfId="6228" xr:uid="{00000000-0005-0000-0000-00008A050000}"/>
    <cellStyle name="40% - Accent3 4 5 3 2" xfId="15510" xr:uid="{BEF087DA-7C2C-449B-94A3-3A1E7986EDC5}"/>
    <cellStyle name="40% - Accent3 4 5 4" xfId="11293" xr:uid="{8CFC42E8-3E80-46C9-A7AB-19670B1CBEB4}"/>
    <cellStyle name="40% - Accent3 4 6" xfId="2335" xr:uid="{00000000-0005-0000-0000-00008B050000}"/>
    <cellStyle name="40% - Accent3 4 6 2" xfId="6641" xr:uid="{00000000-0005-0000-0000-00008C050000}"/>
    <cellStyle name="40% - Accent3 4 6 2 2" xfId="15923" xr:uid="{E3FB5ED9-D87C-4FC0-8511-BC03B7512A0E}"/>
    <cellStyle name="40% - Accent3 4 6 3" xfId="11706" xr:uid="{67D257A0-E50B-4073-9793-1160B4B6039E}"/>
    <cellStyle name="40% - Accent3 4 7" xfId="4575" xr:uid="{00000000-0005-0000-0000-00008D050000}"/>
    <cellStyle name="40% - Accent3 4 7 2" xfId="13857" xr:uid="{F0171C6F-2245-43DE-9A31-B480733B8200}"/>
    <cellStyle name="40% - Accent3 4 8" xfId="9640" xr:uid="{29564D0F-522A-492E-9EFD-1A01A111A4D0}"/>
    <cellStyle name="40% - Accent3 4 9" xfId="8807" xr:uid="{FBD602C4-100F-4D46-84F3-A009A045135E}"/>
    <cellStyle name="40% - Accent3 5" xfId="634" xr:uid="{00000000-0005-0000-0000-00008E050000}"/>
    <cellStyle name="40% - Accent3 5 2" xfId="2905" xr:uid="{00000000-0005-0000-0000-00008F050000}"/>
    <cellStyle name="40% - Accent3 5 2 2" xfId="7127" xr:uid="{00000000-0005-0000-0000-000090050000}"/>
    <cellStyle name="40% - Accent3 5 2 2 2" xfId="16409" xr:uid="{35E3ADFC-9C52-42E1-990E-7B93AA2933E7}"/>
    <cellStyle name="40% - Accent3 5 2 3" xfId="12192" xr:uid="{9A518475-6972-4C58-AE6B-F372219DEE54}"/>
    <cellStyle name="40% - Accent3 5 3" xfId="4982" xr:uid="{00000000-0005-0000-0000-000091050000}"/>
    <cellStyle name="40% - Accent3 5 3 2" xfId="14264" xr:uid="{49A5B1CF-3B1A-488A-A115-B642ECEBA37D}"/>
    <cellStyle name="40% - Accent3 5 4" xfId="10047" xr:uid="{573278E7-1618-4CCF-B891-0FFAB5BD123C}"/>
    <cellStyle name="40% - Accent3 5 5" xfId="9217" xr:uid="{B5EC1652-C86C-4EC7-9D8E-81C4935BFD57}"/>
    <cellStyle name="40% - Accent3 6" xfId="1087" xr:uid="{00000000-0005-0000-0000-000092050000}"/>
    <cellStyle name="40% - Accent3 6 2" xfId="3318" xr:uid="{00000000-0005-0000-0000-000093050000}"/>
    <cellStyle name="40% - Accent3 6 2 2" xfId="7540" xr:uid="{00000000-0005-0000-0000-000094050000}"/>
    <cellStyle name="40% - Accent3 6 2 2 2" xfId="16822" xr:uid="{C242A02D-CBA6-484D-A1AC-A5A078C8F17B}"/>
    <cellStyle name="40% - Accent3 6 2 3" xfId="12605" xr:uid="{3C051031-78FB-4569-BEBB-A5DF5DFC1E49}"/>
    <cellStyle name="40% - Accent3 6 3" xfId="5395" xr:uid="{00000000-0005-0000-0000-000095050000}"/>
    <cellStyle name="40% - Accent3 6 3 2" xfId="14677" xr:uid="{FD04D8E7-0C02-4D0C-9E12-7EDC8E0ED99A}"/>
    <cellStyle name="40% - Accent3 6 4" xfId="10460" xr:uid="{5FEADFD3-6C87-4380-A747-F0FD1D56313E}"/>
    <cellStyle name="40% - Accent3 7" xfId="1501" xr:uid="{00000000-0005-0000-0000-000096050000}"/>
    <cellStyle name="40% - Accent3 7 2" xfId="3731" xr:uid="{00000000-0005-0000-0000-000097050000}"/>
    <cellStyle name="40% - Accent3 7 2 2" xfId="7953" xr:uid="{00000000-0005-0000-0000-000098050000}"/>
    <cellStyle name="40% - Accent3 7 2 2 2" xfId="17235" xr:uid="{C97A1EF3-849B-45C3-9CCF-90BF712E364A}"/>
    <cellStyle name="40% - Accent3 7 2 3" xfId="13018" xr:uid="{6B0B8B55-0A03-4668-A6A2-147247F09B5A}"/>
    <cellStyle name="40% - Accent3 7 3" xfId="5808" xr:uid="{00000000-0005-0000-0000-000099050000}"/>
    <cellStyle name="40% - Accent3 7 3 2" xfId="15090" xr:uid="{A9705DDC-ED6A-4A71-870C-195AADA0DBA7}"/>
    <cellStyle name="40% - Accent3 7 4" xfId="10873" xr:uid="{524E3EC5-2978-4458-AD0D-D728B8AB356F}"/>
    <cellStyle name="40% - Accent3 8" xfId="1915" xr:uid="{00000000-0005-0000-0000-00009A050000}"/>
    <cellStyle name="40% - Accent3 8 2" xfId="4144" xr:uid="{00000000-0005-0000-0000-00009B050000}"/>
    <cellStyle name="40% - Accent3 8 2 2" xfId="8366" xr:uid="{00000000-0005-0000-0000-00009C050000}"/>
    <cellStyle name="40% - Accent3 8 2 2 2" xfId="17648" xr:uid="{D13D0FCE-9F2E-422E-98B6-01BAFF7C404F}"/>
    <cellStyle name="40% - Accent3 8 2 3" xfId="13431" xr:uid="{2F117324-863A-4DC2-B049-A2F2514987BD}"/>
    <cellStyle name="40% - Accent3 8 3" xfId="6221" xr:uid="{00000000-0005-0000-0000-00009D050000}"/>
    <cellStyle name="40% - Accent3 8 3 2" xfId="15503" xr:uid="{8CD94DAE-C62A-4CFD-BA6C-C5FD34D48B7A}"/>
    <cellStyle name="40% - Accent3 8 4" xfId="11286" xr:uid="{4C8AD93C-FBE0-4948-83DC-480BA563AB4D}"/>
    <cellStyle name="40% - Accent3 9" xfId="2328" xr:uid="{00000000-0005-0000-0000-00009E050000}"/>
    <cellStyle name="40% - Accent3 9 2" xfId="6634" xr:uid="{00000000-0005-0000-0000-00009F050000}"/>
    <cellStyle name="40% - Accent3 9 2 2" xfId="15916" xr:uid="{EDFC87A2-BC14-41F1-B419-36DDDB8B67BA}"/>
    <cellStyle name="40% - Accent3 9 3" xfId="11699" xr:uid="{9A71C185-9AB0-4A4A-BE83-7477ADDE5095}"/>
    <cellStyle name="40% - Accent4" xfId="73" builtinId="43" customBuiltin="1"/>
    <cellStyle name="40% - Accent4 10" xfId="4576" xr:uid="{00000000-0005-0000-0000-0000A1050000}"/>
    <cellStyle name="40% - Accent4 10 2" xfId="13858" xr:uid="{4157AAEE-624D-443C-9287-26D787775B5D}"/>
    <cellStyle name="40% - Accent4 11" xfId="9641" xr:uid="{6CC06FE6-BF0D-4976-A09C-5C062F62A376}"/>
    <cellStyle name="40% - Accent4 12" xfId="8808" xr:uid="{447F7745-41B6-4B14-AD79-C6F3B29A2315}"/>
    <cellStyle name="40% - Accent4 2" xfId="74" xr:uid="{00000000-0005-0000-0000-0000A2050000}"/>
    <cellStyle name="40% - Accent4 2 10" xfId="9642" xr:uid="{2E1EFBB3-0990-4B1F-B110-5EEA4D970677}"/>
    <cellStyle name="40% - Accent4 2 11" xfId="8809" xr:uid="{FCBEC94D-C54E-4FFE-80E7-54C1E3B1DB50}"/>
    <cellStyle name="40% - Accent4 2 2" xfId="75" xr:uid="{00000000-0005-0000-0000-0000A3050000}"/>
    <cellStyle name="40% - Accent4 2 2 10" xfId="8810" xr:uid="{FC325110-3EFA-43E0-94EC-F6F61C384C79}"/>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20" xr:uid="{DA1C4972-8E36-4AFF-9C88-CFBC5628D62C}"/>
    <cellStyle name="40% - Accent4 2 2 2 2 2 3" xfId="12203" xr:uid="{928A9B24-88DD-4109-BACE-821D003D02CE}"/>
    <cellStyle name="40% - Accent4 2 2 2 2 3" xfId="4993" xr:uid="{00000000-0005-0000-0000-0000A8050000}"/>
    <cellStyle name="40% - Accent4 2 2 2 2 3 2" xfId="14275" xr:uid="{52F8C83A-F7D4-4BA7-807F-068597CFC23C}"/>
    <cellStyle name="40% - Accent4 2 2 2 2 4" xfId="10058" xr:uid="{211483C5-9417-4B1C-863E-02EEDEC39FBC}"/>
    <cellStyle name="40% - Accent4 2 2 2 2 5" xfId="9228" xr:uid="{895C3B75-36E7-44C3-ADF4-4CA376D5D41A}"/>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33" xr:uid="{F1DF23F5-E21C-4826-8569-AA05F6DD00E6}"/>
    <cellStyle name="40% - Accent4 2 2 2 3 2 3" xfId="12616" xr:uid="{C9CE31CB-AF12-480D-834B-2924C62AD859}"/>
    <cellStyle name="40% - Accent4 2 2 2 3 3" xfId="5406" xr:uid="{00000000-0005-0000-0000-0000AC050000}"/>
    <cellStyle name="40% - Accent4 2 2 2 3 3 2" xfId="14688" xr:uid="{0181D428-9242-404E-BA7C-0207D8F11AFD}"/>
    <cellStyle name="40% - Accent4 2 2 2 3 4" xfId="10471" xr:uid="{736C1182-13EE-47D9-B1C7-BDBFF8767D3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46" xr:uid="{B135BEC2-10F3-42B8-BC29-32BDC4609435}"/>
    <cellStyle name="40% - Accent4 2 2 2 4 2 3" xfId="13029" xr:uid="{8832EE2E-D2CB-40AB-9BF3-2C3E56A1DA3E}"/>
    <cellStyle name="40% - Accent4 2 2 2 4 3" xfId="5819" xr:uid="{00000000-0005-0000-0000-0000B0050000}"/>
    <cellStyle name="40% - Accent4 2 2 2 4 3 2" xfId="15101" xr:uid="{5C674D9A-0847-41F8-B57E-59C8E5190681}"/>
    <cellStyle name="40% - Accent4 2 2 2 4 4" xfId="10884" xr:uid="{D9420528-0C70-4BD4-A885-9CAF9D63E69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659" xr:uid="{924807C7-41E8-4A0C-9E2A-2EF632F40A7E}"/>
    <cellStyle name="40% - Accent4 2 2 2 5 2 3" xfId="13442" xr:uid="{17DA2C66-21CE-4373-BDCC-AE44AC5735C1}"/>
    <cellStyle name="40% - Accent4 2 2 2 5 3" xfId="6232" xr:uid="{00000000-0005-0000-0000-0000B4050000}"/>
    <cellStyle name="40% - Accent4 2 2 2 5 3 2" xfId="15514" xr:uid="{7A094A80-57B2-4F37-83BF-DADB8B2D827E}"/>
    <cellStyle name="40% - Accent4 2 2 2 5 4" xfId="11297" xr:uid="{E630B0E3-2653-46C1-B4CC-B5FFDAA466EA}"/>
    <cellStyle name="40% - Accent4 2 2 2 6" xfId="2339" xr:uid="{00000000-0005-0000-0000-0000B5050000}"/>
    <cellStyle name="40% - Accent4 2 2 2 6 2" xfId="6645" xr:uid="{00000000-0005-0000-0000-0000B6050000}"/>
    <cellStyle name="40% - Accent4 2 2 2 6 2 2" xfId="15927" xr:uid="{9363EBB2-A814-4EDF-AE48-256F64025F62}"/>
    <cellStyle name="40% - Accent4 2 2 2 6 3" xfId="11710" xr:uid="{C381EB44-EBF9-4B59-854B-76A9FBF86DAC}"/>
    <cellStyle name="40% - Accent4 2 2 2 7" xfId="4579" xr:uid="{00000000-0005-0000-0000-0000B7050000}"/>
    <cellStyle name="40% - Accent4 2 2 2 7 2" xfId="13861" xr:uid="{F7A92D47-40EF-4120-8225-C7026A576BAB}"/>
    <cellStyle name="40% - Accent4 2 2 2 8" xfId="9644" xr:uid="{E1F96FDD-2355-431F-A538-63663129C6F0}"/>
    <cellStyle name="40% - Accent4 2 2 2 9" xfId="8811" xr:uid="{6DA3A2E4-02B0-45A3-A2DA-18361446563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19" xr:uid="{181C8F8F-274D-4135-9EC4-7E718FA93A2D}"/>
    <cellStyle name="40% - Accent4 2 2 3 2 3" xfId="12202" xr:uid="{880883C8-1C6D-4CE4-A8AA-F1780438B6FB}"/>
    <cellStyle name="40% - Accent4 2 2 3 3" xfId="4992" xr:uid="{00000000-0005-0000-0000-0000BB050000}"/>
    <cellStyle name="40% - Accent4 2 2 3 3 2" xfId="14274" xr:uid="{7A6A2919-66A8-4936-A8F3-A3CC1C99492A}"/>
    <cellStyle name="40% - Accent4 2 2 3 4" xfId="10057" xr:uid="{942A2D9A-954B-4E48-8435-591D1366C820}"/>
    <cellStyle name="40% - Accent4 2 2 3 5" xfId="9227" xr:uid="{5AF0FEB3-E574-427B-8846-9BC1330A70A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32" xr:uid="{57A46B8A-9AE9-4969-AF13-32A4A5665F88}"/>
    <cellStyle name="40% - Accent4 2 2 4 2 3" xfId="12615" xr:uid="{5CF5AAAF-57DE-42FA-98A1-242615A1F60B}"/>
    <cellStyle name="40% - Accent4 2 2 4 3" xfId="5405" xr:uid="{00000000-0005-0000-0000-0000BF050000}"/>
    <cellStyle name="40% - Accent4 2 2 4 3 2" xfId="14687" xr:uid="{0CA7169F-7026-4839-9FA8-C3E5696ED32D}"/>
    <cellStyle name="40% - Accent4 2 2 4 4" xfId="10470" xr:uid="{CF131864-A608-40BC-A5B0-704B1079254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45" xr:uid="{330CAC1E-ABAD-4756-84A1-EA4488E37FF8}"/>
    <cellStyle name="40% - Accent4 2 2 5 2 3" xfId="13028" xr:uid="{718B4609-7D1C-4C01-880A-AFCD9DF387DD}"/>
    <cellStyle name="40% - Accent4 2 2 5 3" xfId="5818" xr:uid="{00000000-0005-0000-0000-0000C3050000}"/>
    <cellStyle name="40% - Accent4 2 2 5 3 2" xfId="15100" xr:uid="{28E90363-D3DE-428F-A802-0049828DEC00}"/>
    <cellStyle name="40% - Accent4 2 2 5 4" xfId="10883" xr:uid="{2DA1AE99-5842-44D2-A376-98AAD561666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658" xr:uid="{EE55D741-00EC-4559-8EE9-AB69642F2E98}"/>
    <cellStyle name="40% - Accent4 2 2 6 2 3" xfId="13441" xr:uid="{19944FFE-7F52-480B-8B7C-4967CC16E852}"/>
    <cellStyle name="40% - Accent4 2 2 6 3" xfId="6231" xr:uid="{00000000-0005-0000-0000-0000C7050000}"/>
    <cellStyle name="40% - Accent4 2 2 6 3 2" xfId="15513" xr:uid="{0504C6D4-B944-49E8-BB1E-047B7BB00DB3}"/>
    <cellStyle name="40% - Accent4 2 2 6 4" xfId="11296" xr:uid="{31893FEB-077B-4B46-B158-FB1AE97203EE}"/>
    <cellStyle name="40% - Accent4 2 2 7" xfId="2338" xr:uid="{00000000-0005-0000-0000-0000C8050000}"/>
    <cellStyle name="40% - Accent4 2 2 7 2" xfId="6644" xr:uid="{00000000-0005-0000-0000-0000C9050000}"/>
    <cellStyle name="40% - Accent4 2 2 7 2 2" xfId="15926" xr:uid="{BDF417C3-9C5A-4927-A9DF-1D08B0E63B52}"/>
    <cellStyle name="40% - Accent4 2 2 7 3" xfId="11709" xr:uid="{BECF3D07-42CE-4EF8-A210-42E679FE143A}"/>
    <cellStyle name="40% - Accent4 2 2 8" xfId="4578" xr:uid="{00000000-0005-0000-0000-0000CA050000}"/>
    <cellStyle name="40% - Accent4 2 2 8 2" xfId="13860" xr:uid="{AF1ED983-8908-42DB-9275-7A889E457571}"/>
    <cellStyle name="40% - Accent4 2 2 9" xfId="9643" xr:uid="{0766E856-E2CD-490D-8852-6740AC20A99C}"/>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21" xr:uid="{EA9CB348-15B9-4EC7-A0F8-732255A22FE3}"/>
    <cellStyle name="40% - Accent4 2 3 2 2 3" xfId="12204" xr:uid="{12C3199A-2575-41CB-9861-AF168029FEEC}"/>
    <cellStyle name="40% - Accent4 2 3 2 3" xfId="4994" xr:uid="{00000000-0005-0000-0000-0000CF050000}"/>
    <cellStyle name="40% - Accent4 2 3 2 3 2" xfId="14276" xr:uid="{CDD2E3A1-3E86-4208-A4D1-C0BBE1D2CEEF}"/>
    <cellStyle name="40% - Accent4 2 3 2 4" xfId="10059" xr:uid="{C89CB8F5-D703-4D7A-B068-F0CC2F81DB5E}"/>
    <cellStyle name="40% - Accent4 2 3 2 5" xfId="9229" xr:uid="{C7183789-F35B-4646-801B-65F141E2525B}"/>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34" xr:uid="{80B10419-9116-47B7-A381-2DD6D2077474}"/>
    <cellStyle name="40% - Accent4 2 3 3 2 3" xfId="12617" xr:uid="{D2B65FC7-A876-4F30-991D-F54D5264DF22}"/>
    <cellStyle name="40% - Accent4 2 3 3 3" xfId="5407" xr:uid="{00000000-0005-0000-0000-0000D3050000}"/>
    <cellStyle name="40% - Accent4 2 3 3 3 2" xfId="14689" xr:uid="{85A7CD9A-2D95-42A2-8F18-A28400E0931E}"/>
    <cellStyle name="40% - Accent4 2 3 3 4" xfId="10472" xr:uid="{58C924F6-6B3A-4485-A7BC-384C3A8CE5EB}"/>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47" xr:uid="{82EE0891-C568-4795-B521-5FC9708639D7}"/>
    <cellStyle name="40% - Accent4 2 3 4 2 3" xfId="13030" xr:uid="{39D42751-9D24-4123-A69F-BFAD62B6EBA4}"/>
    <cellStyle name="40% - Accent4 2 3 4 3" xfId="5820" xr:uid="{00000000-0005-0000-0000-0000D7050000}"/>
    <cellStyle name="40% - Accent4 2 3 4 3 2" xfId="15102" xr:uid="{09D566DE-2392-4CDD-B4C9-6B34821C3245}"/>
    <cellStyle name="40% - Accent4 2 3 4 4" xfId="10885" xr:uid="{0D8584B4-0B10-4AD4-AB6E-C0F04BF3D313}"/>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660" xr:uid="{AB93A0D2-6764-4934-ABE1-785CF27B3B9E}"/>
    <cellStyle name="40% - Accent4 2 3 5 2 3" xfId="13443" xr:uid="{0924EA1F-BDF6-4E8D-ACE1-44A4FDEA8C1F}"/>
    <cellStyle name="40% - Accent4 2 3 5 3" xfId="6233" xr:uid="{00000000-0005-0000-0000-0000DB050000}"/>
    <cellStyle name="40% - Accent4 2 3 5 3 2" xfId="15515" xr:uid="{74AB332C-6105-40B9-A2CB-77FCD8FAD06A}"/>
    <cellStyle name="40% - Accent4 2 3 5 4" xfId="11298" xr:uid="{B3CA8832-FA0E-4862-BCF8-59F2CF492FD8}"/>
    <cellStyle name="40% - Accent4 2 3 6" xfId="2340" xr:uid="{00000000-0005-0000-0000-0000DC050000}"/>
    <cellStyle name="40% - Accent4 2 3 6 2" xfId="6646" xr:uid="{00000000-0005-0000-0000-0000DD050000}"/>
    <cellStyle name="40% - Accent4 2 3 6 2 2" xfId="15928" xr:uid="{DEFA6260-0172-40EF-B2D4-4EEE1B9A0097}"/>
    <cellStyle name="40% - Accent4 2 3 6 3" xfId="11711" xr:uid="{5E214CD2-2E8D-46E4-96D6-E8BC43C08F5A}"/>
    <cellStyle name="40% - Accent4 2 3 7" xfId="4580" xr:uid="{00000000-0005-0000-0000-0000DE050000}"/>
    <cellStyle name="40% - Accent4 2 3 7 2" xfId="13862" xr:uid="{54E3D34C-0587-4C06-9A7C-56031A731804}"/>
    <cellStyle name="40% - Accent4 2 3 8" xfId="9645" xr:uid="{26972BBD-6A01-4147-BD18-CFA40840505E}"/>
    <cellStyle name="40% - Accent4 2 3 9" xfId="8812" xr:uid="{DDB4A7E9-A6CE-4F14-82DB-ACA3E68E75AC}"/>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18" xr:uid="{186012A7-CCD0-4823-BFBC-3FDD9B71DC2B}"/>
    <cellStyle name="40% - Accent4 2 4 2 3" xfId="12201" xr:uid="{18D937ED-0A29-4F1A-BF5D-29A523CF495A}"/>
    <cellStyle name="40% - Accent4 2 4 3" xfId="4991" xr:uid="{00000000-0005-0000-0000-0000E2050000}"/>
    <cellStyle name="40% - Accent4 2 4 3 2" xfId="14273" xr:uid="{687E6378-46CF-4806-B72A-5C7592C5D8B1}"/>
    <cellStyle name="40% - Accent4 2 4 4" xfId="10056" xr:uid="{B4987D28-06AC-4934-9FE4-49B594D54A3D}"/>
    <cellStyle name="40% - Accent4 2 4 5" xfId="9226" xr:uid="{F070420A-0A4A-40B8-B6AB-4677BF0B0601}"/>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31" xr:uid="{2DFC9E08-51E6-4F4E-BB66-7FBCC7325D3B}"/>
    <cellStyle name="40% - Accent4 2 5 2 3" xfId="12614" xr:uid="{D3A43676-65F0-4807-9F5A-7344C74AB4AF}"/>
    <cellStyle name="40% - Accent4 2 5 3" xfId="5404" xr:uid="{00000000-0005-0000-0000-0000E6050000}"/>
    <cellStyle name="40% - Accent4 2 5 3 2" xfId="14686" xr:uid="{CF838E14-18AB-46A0-90F1-5DBAC968A81A}"/>
    <cellStyle name="40% - Accent4 2 5 4" xfId="10469" xr:uid="{1CD70DA7-01B8-44AF-A934-C0ADA49D077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44" xr:uid="{A1033B0D-146B-4A34-9BC1-08337F0E42BF}"/>
    <cellStyle name="40% - Accent4 2 6 2 3" xfId="13027" xr:uid="{77AD8452-B5E7-4000-903D-CC9F91BFE2FF}"/>
    <cellStyle name="40% - Accent4 2 6 3" xfId="5817" xr:uid="{00000000-0005-0000-0000-0000EA050000}"/>
    <cellStyle name="40% - Accent4 2 6 3 2" xfId="15099" xr:uid="{134A2EC9-FB0F-4A6D-840A-1AC2B92D7427}"/>
    <cellStyle name="40% - Accent4 2 6 4" xfId="10882" xr:uid="{66E0ED8A-0132-4809-A34F-F8E802D60F23}"/>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657" xr:uid="{A66BB338-14CA-416D-AED8-FE9C410A9272}"/>
    <cellStyle name="40% - Accent4 2 7 2 3" xfId="13440" xr:uid="{1393DC5C-F6C0-464E-A35D-A7D787B2E99C}"/>
    <cellStyle name="40% - Accent4 2 7 3" xfId="6230" xr:uid="{00000000-0005-0000-0000-0000EE050000}"/>
    <cellStyle name="40% - Accent4 2 7 3 2" xfId="15512" xr:uid="{479FBD99-F9EB-4167-8AF8-35E27080D2C3}"/>
    <cellStyle name="40% - Accent4 2 7 4" xfId="11295" xr:uid="{1B1D7DEB-C7ED-46D9-8795-FA8BD7B519E4}"/>
    <cellStyle name="40% - Accent4 2 8" xfId="2337" xr:uid="{00000000-0005-0000-0000-0000EF050000}"/>
    <cellStyle name="40% - Accent4 2 8 2" xfId="6643" xr:uid="{00000000-0005-0000-0000-0000F0050000}"/>
    <cellStyle name="40% - Accent4 2 8 2 2" xfId="15925" xr:uid="{655B3DE8-6109-4E27-AE29-9D9F6C7B6052}"/>
    <cellStyle name="40% - Accent4 2 8 3" xfId="11708" xr:uid="{D93A4D8E-5C76-46F5-BE01-94DEAC845B64}"/>
    <cellStyle name="40% - Accent4 2 9" xfId="4577" xr:uid="{00000000-0005-0000-0000-0000F1050000}"/>
    <cellStyle name="40% - Accent4 2 9 2" xfId="13859" xr:uid="{2206F1B4-5B78-4305-9348-119B597BA08B}"/>
    <cellStyle name="40% - Accent4 3" xfId="78" xr:uid="{00000000-0005-0000-0000-0000F2050000}"/>
    <cellStyle name="40% - Accent4 3 10" xfId="8813" xr:uid="{B2B0C797-6495-4868-9BB7-59AC6E2D9132}"/>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23" xr:uid="{F2890B8A-74EE-4D3D-9B92-7EE22891A626}"/>
    <cellStyle name="40% - Accent4 3 2 2 2 3" xfId="12206" xr:uid="{2F272AC2-C205-4680-B811-E2E67CCFA458}"/>
    <cellStyle name="40% - Accent4 3 2 2 3" xfId="4996" xr:uid="{00000000-0005-0000-0000-0000F7050000}"/>
    <cellStyle name="40% - Accent4 3 2 2 3 2" xfId="14278" xr:uid="{F138EC3F-5505-4D73-BAAA-42BE77AC54B2}"/>
    <cellStyle name="40% - Accent4 3 2 2 4" xfId="10061" xr:uid="{82021CB2-683E-4499-89A3-AD74B68223F1}"/>
    <cellStyle name="40% - Accent4 3 2 2 5" xfId="9231" xr:uid="{13128725-3099-4B88-ADB8-BCF095C628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36" xr:uid="{83BB0896-EC27-4319-AF13-83DD9C2F0433}"/>
    <cellStyle name="40% - Accent4 3 2 3 2 3" xfId="12619" xr:uid="{F35154A3-A09A-4BED-A0CA-652D885BA692}"/>
    <cellStyle name="40% - Accent4 3 2 3 3" xfId="5409" xr:uid="{00000000-0005-0000-0000-0000FB050000}"/>
    <cellStyle name="40% - Accent4 3 2 3 3 2" xfId="14691" xr:uid="{2E3C04BE-D947-4DCF-A404-EBA61C0D24BC}"/>
    <cellStyle name="40% - Accent4 3 2 3 4" xfId="10474" xr:uid="{0503E8A6-BBA5-4317-8D54-4534B552244C}"/>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49" xr:uid="{89B3A651-03A8-4C83-84C2-0D56AB31A4DA}"/>
    <cellStyle name="40% - Accent4 3 2 4 2 3" xfId="13032" xr:uid="{4E312210-1789-47D9-8BD7-78CA1A53F03C}"/>
    <cellStyle name="40% - Accent4 3 2 4 3" xfId="5822" xr:uid="{00000000-0005-0000-0000-0000FF050000}"/>
    <cellStyle name="40% - Accent4 3 2 4 3 2" xfId="15104" xr:uid="{FA0DB9EF-AFB9-478F-B693-2D344DFEEDF3}"/>
    <cellStyle name="40% - Accent4 3 2 4 4" xfId="10887" xr:uid="{A77F8734-6A8B-422E-910C-12601C03F40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662" xr:uid="{98D01CA4-47BB-4755-9E5A-AB8DDA02F3C2}"/>
    <cellStyle name="40% - Accent4 3 2 5 2 3" xfId="13445" xr:uid="{948FB991-750D-4B19-B2D2-087DAB415B78}"/>
    <cellStyle name="40% - Accent4 3 2 5 3" xfId="6235" xr:uid="{00000000-0005-0000-0000-000003060000}"/>
    <cellStyle name="40% - Accent4 3 2 5 3 2" xfId="15517" xr:uid="{317736B7-9CBE-4B94-BED9-728CAAC19C3C}"/>
    <cellStyle name="40% - Accent4 3 2 5 4" xfId="11300" xr:uid="{61A0C445-564F-48FE-A097-7EFC228F4EC8}"/>
    <cellStyle name="40% - Accent4 3 2 6" xfId="2342" xr:uid="{00000000-0005-0000-0000-000004060000}"/>
    <cellStyle name="40% - Accent4 3 2 6 2" xfId="6648" xr:uid="{00000000-0005-0000-0000-000005060000}"/>
    <cellStyle name="40% - Accent4 3 2 6 2 2" xfId="15930" xr:uid="{1E0B728E-8FB4-434C-8E00-67F843DC68FF}"/>
    <cellStyle name="40% - Accent4 3 2 6 3" xfId="11713" xr:uid="{E2A988F7-9C95-4BBC-AAB3-73E92D124DD9}"/>
    <cellStyle name="40% - Accent4 3 2 7" xfId="4582" xr:uid="{00000000-0005-0000-0000-000006060000}"/>
    <cellStyle name="40% - Accent4 3 2 7 2" xfId="13864" xr:uid="{7261E06B-683D-4D25-9759-8E6DC7400CA6}"/>
    <cellStyle name="40% - Accent4 3 2 8" xfId="9647" xr:uid="{639281F3-9471-422C-9E6B-5F85ECAA7F76}"/>
    <cellStyle name="40% - Accent4 3 2 9" xfId="8814" xr:uid="{74053716-6A0B-4ED6-BCDA-CD0D864760D4}"/>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22" xr:uid="{CBA3D02D-4121-4AEA-ACC0-6E503C86C837}"/>
    <cellStyle name="40% - Accent4 3 3 2 3" xfId="12205" xr:uid="{CC01AD59-5F6E-454E-B0EE-A68B5DBA1CA5}"/>
    <cellStyle name="40% - Accent4 3 3 3" xfId="4995" xr:uid="{00000000-0005-0000-0000-00000A060000}"/>
    <cellStyle name="40% - Accent4 3 3 3 2" xfId="14277" xr:uid="{85C5D2BF-4AE5-422C-94AF-5A6F587CE9E3}"/>
    <cellStyle name="40% - Accent4 3 3 4" xfId="10060" xr:uid="{CFFE4ECD-FCBB-4F1A-9D04-16BA6104D2B1}"/>
    <cellStyle name="40% - Accent4 3 3 5" xfId="9230" xr:uid="{6A4B7603-0A32-4B2A-8B59-0AACCB3DAB19}"/>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35" xr:uid="{910A5671-4C41-42C7-AE65-E397FFE18A36}"/>
    <cellStyle name="40% - Accent4 3 4 2 3" xfId="12618" xr:uid="{B38056C3-26E1-4D07-A50F-ECB96A1E6EDE}"/>
    <cellStyle name="40% - Accent4 3 4 3" xfId="5408" xr:uid="{00000000-0005-0000-0000-00000E060000}"/>
    <cellStyle name="40% - Accent4 3 4 3 2" xfId="14690" xr:uid="{3B43F6E8-4DCE-41D5-8874-0DF44A3CA69E}"/>
    <cellStyle name="40% - Accent4 3 4 4" xfId="10473" xr:uid="{89702124-4865-4FD9-94D1-E79C83090687}"/>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48" xr:uid="{47851A67-17D8-4AEC-9695-A1CAD7DFAA4A}"/>
    <cellStyle name="40% - Accent4 3 5 2 3" xfId="13031" xr:uid="{28D4D492-B5A7-44F9-ACB5-BC532CA4D424}"/>
    <cellStyle name="40% - Accent4 3 5 3" xfId="5821" xr:uid="{00000000-0005-0000-0000-000012060000}"/>
    <cellStyle name="40% - Accent4 3 5 3 2" xfId="15103" xr:uid="{AE13239C-8FC7-4CAC-8EBB-EEE3344C3BD5}"/>
    <cellStyle name="40% - Accent4 3 5 4" xfId="10886" xr:uid="{6450F84D-7748-4B06-B82D-734D4EEF958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661" xr:uid="{5056E478-6805-490A-A6F2-A9D7F5903EB6}"/>
    <cellStyle name="40% - Accent4 3 6 2 3" xfId="13444" xr:uid="{7C17434F-F0F7-4265-835C-C97B21E6EE5A}"/>
    <cellStyle name="40% - Accent4 3 6 3" xfId="6234" xr:uid="{00000000-0005-0000-0000-000016060000}"/>
    <cellStyle name="40% - Accent4 3 6 3 2" xfId="15516" xr:uid="{A61122CF-8A13-45CF-A635-B384518CC180}"/>
    <cellStyle name="40% - Accent4 3 6 4" xfId="11299" xr:uid="{C4CA5BB5-1F75-41F0-B962-EBBF2A67F91F}"/>
    <cellStyle name="40% - Accent4 3 7" xfId="2341" xr:uid="{00000000-0005-0000-0000-000017060000}"/>
    <cellStyle name="40% - Accent4 3 7 2" xfId="6647" xr:uid="{00000000-0005-0000-0000-000018060000}"/>
    <cellStyle name="40% - Accent4 3 7 2 2" xfId="15929" xr:uid="{BF5B7227-5238-4D80-A357-F126285741F4}"/>
    <cellStyle name="40% - Accent4 3 7 3" xfId="11712" xr:uid="{7A85C579-6FD5-49C8-83BF-DF1C730D39F9}"/>
    <cellStyle name="40% - Accent4 3 8" xfId="4581" xr:uid="{00000000-0005-0000-0000-000019060000}"/>
    <cellStyle name="40% - Accent4 3 8 2" xfId="13863" xr:uid="{2B0099C1-8E14-46E5-882A-1E1927AA6E38}"/>
    <cellStyle name="40% - Accent4 3 9" xfId="9646" xr:uid="{106D5555-4ED5-4ED9-9E95-2B844BD8F6BE}"/>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24" xr:uid="{AF0D80EA-93A1-4748-A36B-01DC0E7280B0}"/>
    <cellStyle name="40% - Accent4 4 2 2 3" xfId="12207" xr:uid="{2BC4A28C-490E-4179-B1B5-EED821689373}"/>
    <cellStyle name="40% - Accent4 4 2 3" xfId="4997" xr:uid="{00000000-0005-0000-0000-00001E060000}"/>
    <cellStyle name="40% - Accent4 4 2 3 2" xfId="14279" xr:uid="{91FB064B-09C3-49AF-BA7E-82D873F88325}"/>
    <cellStyle name="40% - Accent4 4 2 4" xfId="10062" xr:uid="{925F7198-C3D6-434D-B7DC-69D94A1C0DC7}"/>
    <cellStyle name="40% - Accent4 4 2 5" xfId="9232" xr:uid="{E71CCB26-6F1A-41DC-A011-2C13B58BBE39}"/>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37" xr:uid="{48E0E2A8-A108-47AC-9DA4-6C4E5E34B8C7}"/>
    <cellStyle name="40% - Accent4 4 3 2 3" xfId="12620" xr:uid="{78908C41-0F1D-486D-8FB0-6027CA3A5422}"/>
    <cellStyle name="40% - Accent4 4 3 3" xfId="5410" xr:uid="{00000000-0005-0000-0000-000022060000}"/>
    <cellStyle name="40% - Accent4 4 3 3 2" xfId="14692" xr:uid="{0B79005D-C82B-4CF5-8F82-26AAF4549AE3}"/>
    <cellStyle name="40% - Accent4 4 3 4" xfId="10475" xr:uid="{AEBB1F9F-8479-4664-90D8-5FE2552F731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50" xr:uid="{6AA87457-601C-4EB9-A44C-20A8430CF584}"/>
    <cellStyle name="40% - Accent4 4 4 2 3" xfId="13033" xr:uid="{00FC16B7-CDE2-450D-8CA7-B83CC1902781}"/>
    <cellStyle name="40% - Accent4 4 4 3" xfId="5823" xr:uid="{00000000-0005-0000-0000-000026060000}"/>
    <cellStyle name="40% - Accent4 4 4 3 2" xfId="15105" xr:uid="{999D87BB-0739-4875-AA3E-CA2E83D51ED3}"/>
    <cellStyle name="40% - Accent4 4 4 4" xfId="10888" xr:uid="{37489E31-05E0-4486-81D3-1CDB5CBA70A9}"/>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663" xr:uid="{A6BFA1F4-81AA-495E-8B6C-810DD26093EB}"/>
    <cellStyle name="40% - Accent4 4 5 2 3" xfId="13446" xr:uid="{7B5F580C-B2DA-4554-A4A8-DCF40EC597EA}"/>
    <cellStyle name="40% - Accent4 4 5 3" xfId="6236" xr:uid="{00000000-0005-0000-0000-00002A060000}"/>
    <cellStyle name="40% - Accent4 4 5 3 2" xfId="15518" xr:uid="{38C239E6-9E7E-45E7-8521-AFDBB2C6A565}"/>
    <cellStyle name="40% - Accent4 4 5 4" xfId="11301" xr:uid="{82D878C2-A82E-4728-9EB8-8A62282F9302}"/>
    <cellStyle name="40% - Accent4 4 6" xfId="2343" xr:uid="{00000000-0005-0000-0000-00002B060000}"/>
    <cellStyle name="40% - Accent4 4 6 2" xfId="6649" xr:uid="{00000000-0005-0000-0000-00002C060000}"/>
    <cellStyle name="40% - Accent4 4 6 2 2" xfId="15931" xr:uid="{F04F2244-9E0F-448D-90F7-09B809669E38}"/>
    <cellStyle name="40% - Accent4 4 6 3" xfId="11714" xr:uid="{EF9072DC-C3B2-4164-A49E-FC60E65B354F}"/>
    <cellStyle name="40% - Accent4 4 7" xfId="4583" xr:uid="{00000000-0005-0000-0000-00002D060000}"/>
    <cellStyle name="40% - Accent4 4 7 2" xfId="13865" xr:uid="{B8B07419-EEF8-431B-B7EF-A485098221A6}"/>
    <cellStyle name="40% - Accent4 4 8" xfId="9648" xr:uid="{5CA8999A-2906-428A-873E-D4738AD65181}"/>
    <cellStyle name="40% - Accent4 4 9" xfId="8815" xr:uid="{8A538FC5-0729-4CA2-BE72-0FEC6875E067}"/>
    <cellStyle name="40% - Accent4 5" xfId="642" xr:uid="{00000000-0005-0000-0000-00002E060000}"/>
    <cellStyle name="40% - Accent4 5 2" xfId="2913" xr:uid="{00000000-0005-0000-0000-00002F060000}"/>
    <cellStyle name="40% - Accent4 5 2 2" xfId="7135" xr:uid="{00000000-0005-0000-0000-000030060000}"/>
    <cellStyle name="40% - Accent4 5 2 2 2" xfId="16417" xr:uid="{E79DFEA0-2EBB-4C5F-B7E8-D7C1FB243576}"/>
    <cellStyle name="40% - Accent4 5 2 3" xfId="12200" xr:uid="{1135F8C2-6181-46B3-8E53-662C74C78A32}"/>
    <cellStyle name="40% - Accent4 5 3" xfId="4990" xr:uid="{00000000-0005-0000-0000-000031060000}"/>
    <cellStyle name="40% - Accent4 5 3 2" xfId="14272" xr:uid="{58DC1124-A2E7-4C46-A401-F0C846070ACE}"/>
    <cellStyle name="40% - Accent4 5 4" xfId="10055" xr:uid="{FDA00647-40ED-438B-A367-B46E78EFAC39}"/>
    <cellStyle name="40% - Accent4 5 5" xfId="9225" xr:uid="{9E440DE5-2AE6-4859-A8D9-2D73FCF9DD67}"/>
    <cellStyle name="40% - Accent4 6" xfId="1095" xr:uid="{00000000-0005-0000-0000-000032060000}"/>
    <cellStyle name="40% - Accent4 6 2" xfId="3326" xr:uid="{00000000-0005-0000-0000-000033060000}"/>
    <cellStyle name="40% - Accent4 6 2 2" xfId="7548" xr:uid="{00000000-0005-0000-0000-000034060000}"/>
    <cellStyle name="40% - Accent4 6 2 2 2" xfId="16830" xr:uid="{D2E7B6F3-CF89-4141-9794-ADB57AE03661}"/>
    <cellStyle name="40% - Accent4 6 2 3" xfId="12613" xr:uid="{9743F7EB-FD81-4BA1-A219-05D7E919162A}"/>
    <cellStyle name="40% - Accent4 6 3" xfId="5403" xr:uid="{00000000-0005-0000-0000-000035060000}"/>
    <cellStyle name="40% - Accent4 6 3 2" xfId="14685" xr:uid="{9EBB8C12-5B1B-4DF1-89D4-792D430B7DFE}"/>
    <cellStyle name="40% - Accent4 6 4" xfId="10468" xr:uid="{8CAF7E3E-3CDA-4E6A-AC5C-6D070FA03987}"/>
    <cellStyle name="40% - Accent4 7" xfId="1509" xr:uid="{00000000-0005-0000-0000-000036060000}"/>
    <cellStyle name="40% - Accent4 7 2" xfId="3739" xr:uid="{00000000-0005-0000-0000-000037060000}"/>
    <cellStyle name="40% - Accent4 7 2 2" xfId="7961" xr:uid="{00000000-0005-0000-0000-000038060000}"/>
    <cellStyle name="40% - Accent4 7 2 2 2" xfId="17243" xr:uid="{2F64F7CC-86FA-4ABC-BBDF-F590DC5177F7}"/>
    <cellStyle name="40% - Accent4 7 2 3" xfId="13026" xr:uid="{2EA0D049-9EFD-4914-986C-D978376C6FBC}"/>
    <cellStyle name="40% - Accent4 7 3" xfId="5816" xr:uid="{00000000-0005-0000-0000-000039060000}"/>
    <cellStyle name="40% - Accent4 7 3 2" xfId="15098" xr:uid="{5ED7B2CE-750E-4394-8339-71B4004612AA}"/>
    <cellStyle name="40% - Accent4 7 4" xfId="10881" xr:uid="{DF69DA2B-FD51-4332-AB13-49EE08EE1438}"/>
    <cellStyle name="40% - Accent4 8" xfId="1923" xr:uid="{00000000-0005-0000-0000-00003A060000}"/>
    <cellStyle name="40% - Accent4 8 2" xfId="4152" xr:uid="{00000000-0005-0000-0000-00003B060000}"/>
    <cellStyle name="40% - Accent4 8 2 2" xfId="8374" xr:uid="{00000000-0005-0000-0000-00003C060000}"/>
    <cellStyle name="40% - Accent4 8 2 2 2" xfId="17656" xr:uid="{E41C47A3-E5DE-4666-8DF6-62901F8EF7B7}"/>
    <cellStyle name="40% - Accent4 8 2 3" xfId="13439" xr:uid="{957B2975-80F2-48CF-83BB-510BBE3620C3}"/>
    <cellStyle name="40% - Accent4 8 3" xfId="6229" xr:uid="{00000000-0005-0000-0000-00003D060000}"/>
    <cellStyle name="40% - Accent4 8 3 2" xfId="15511" xr:uid="{92D6BE7B-1967-4D6F-94F7-B20F2A3F0A2F}"/>
    <cellStyle name="40% - Accent4 8 4" xfId="11294" xr:uid="{EC289A86-71C5-4055-BF2C-A8F2C633F128}"/>
    <cellStyle name="40% - Accent4 9" xfId="2336" xr:uid="{00000000-0005-0000-0000-00003E060000}"/>
    <cellStyle name="40% - Accent4 9 2" xfId="6642" xr:uid="{00000000-0005-0000-0000-00003F060000}"/>
    <cellStyle name="40% - Accent4 9 2 2" xfId="15924" xr:uid="{181F0AB2-837B-4617-9BF3-7C53891E8D97}"/>
    <cellStyle name="40% - Accent4 9 3" xfId="11707" xr:uid="{EEA56A87-FCEF-4900-98CD-5184DD4FDEC7}"/>
    <cellStyle name="40% - Accent5" xfId="81" builtinId="47" customBuiltin="1"/>
    <cellStyle name="40% - Accent5 10" xfId="4584" xr:uid="{00000000-0005-0000-0000-000041060000}"/>
    <cellStyle name="40% - Accent5 10 2" xfId="13866" xr:uid="{A23C85C0-4C49-4BDA-BEAA-8F9640A790B1}"/>
    <cellStyle name="40% - Accent5 11" xfId="9649" xr:uid="{12E020E0-5EAD-4D14-9126-89DCCAA2BB67}"/>
    <cellStyle name="40% - Accent5 12" xfId="8816" xr:uid="{4EB48B48-5090-447F-908A-DDED051E461F}"/>
    <cellStyle name="40% - Accent5 2" xfId="82" xr:uid="{00000000-0005-0000-0000-000042060000}"/>
    <cellStyle name="40% - Accent5 2 10" xfId="9650" xr:uid="{4018A87C-FE72-4DA9-A6A0-662CB75C1C22}"/>
    <cellStyle name="40% - Accent5 2 11" xfId="8817" xr:uid="{B06AD13A-2C60-4817-B779-BC3F7C140D89}"/>
    <cellStyle name="40% - Accent5 2 2" xfId="83" xr:uid="{00000000-0005-0000-0000-000043060000}"/>
    <cellStyle name="40% - Accent5 2 2 10" xfId="8818" xr:uid="{F025C0A7-F2A1-49F2-A538-F15485926B87}"/>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28" xr:uid="{65AE045A-0FC9-4034-9A08-0F76921CBC0E}"/>
    <cellStyle name="40% - Accent5 2 2 2 2 2 3" xfId="12211" xr:uid="{792875B7-107F-4C5F-AA53-DC0D628CF20F}"/>
    <cellStyle name="40% - Accent5 2 2 2 2 3" xfId="5001" xr:uid="{00000000-0005-0000-0000-000048060000}"/>
    <cellStyle name="40% - Accent5 2 2 2 2 3 2" xfId="14283" xr:uid="{7B59F86E-8D44-491C-8FA9-FF4310EDF1D6}"/>
    <cellStyle name="40% - Accent5 2 2 2 2 4" xfId="10066" xr:uid="{BB80BEA8-4951-4BC2-ACC3-E9534748FF0B}"/>
    <cellStyle name="40% - Accent5 2 2 2 2 5" xfId="9236" xr:uid="{562BA3CF-B5EA-4CC0-A9E2-BBAED347419A}"/>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41" xr:uid="{B0841F6F-E005-4CA1-918A-98E536C62030}"/>
    <cellStyle name="40% - Accent5 2 2 2 3 2 3" xfId="12624" xr:uid="{D52D0560-FCF1-430D-8E60-363E215BDF1B}"/>
    <cellStyle name="40% - Accent5 2 2 2 3 3" xfId="5414" xr:uid="{00000000-0005-0000-0000-00004C060000}"/>
    <cellStyle name="40% - Accent5 2 2 2 3 3 2" xfId="14696" xr:uid="{602B59DE-6772-4CC1-BC5E-E5329229299C}"/>
    <cellStyle name="40% - Accent5 2 2 2 3 4" xfId="10479" xr:uid="{AFA4D3C1-8F65-4BC5-92C0-652FDB28DED2}"/>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54" xr:uid="{93E68A62-7AE6-4CF8-95D2-E6FFAF908B1D}"/>
    <cellStyle name="40% - Accent5 2 2 2 4 2 3" xfId="13037" xr:uid="{A7C17EC9-8026-425D-B985-7EB804A1BDEB}"/>
    <cellStyle name="40% - Accent5 2 2 2 4 3" xfId="5827" xr:uid="{00000000-0005-0000-0000-000050060000}"/>
    <cellStyle name="40% - Accent5 2 2 2 4 3 2" xfId="15109" xr:uid="{DD87856D-D277-4773-B933-983FCE251332}"/>
    <cellStyle name="40% - Accent5 2 2 2 4 4" xfId="10892" xr:uid="{F4F5B237-091F-4035-AF15-8B4B5AD3C4D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667" xr:uid="{B2EA4931-021D-4601-88E3-841348D37DD4}"/>
    <cellStyle name="40% - Accent5 2 2 2 5 2 3" xfId="13450" xr:uid="{921BDB48-6452-4A82-9561-2B16301D49D3}"/>
    <cellStyle name="40% - Accent5 2 2 2 5 3" xfId="6240" xr:uid="{00000000-0005-0000-0000-000054060000}"/>
    <cellStyle name="40% - Accent5 2 2 2 5 3 2" xfId="15522" xr:uid="{A578EFEB-580F-4972-AC60-98C510A4ADCA}"/>
    <cellStyle name="40% - Accent5 2 2 2 5 4" xfId="11305" xr:uid="{91D349D3-54A2-47AB-A6F3-5C18C938AE33}"/>
    <cellStyle name="40% - Accent5 2 2 2 6" xfId="2347" xr:uid="{00000000-0005-0000-0000-000055060000}"/>
    <cellStyle name="40% - Accent5 2 2 2 6 2" xfId="6653" xr:uid="{00000000-0005-0000-0000-000056060000}"/>
    <cellStyle name="40% - Accent5 2 2 2 6 2 2" xfId="15935" xr:uid="{830C2F5D-FB4A-4183-8756-854A3C29170F}"/>
    <cellStyle name="40% - Accent5 2 2 2 6 3" xfId="11718" xr:uid="{FDEE8464-E146-4453-9579-F987F2443074}"/>
    <cellStyle name="40% - Accent5 2 2 2 7" xfId="4587" xr:uid="{00000000-0005-0000-0000-000057060000}"/>
    <cellStyle name="40% - Accent5 2 2 2 7 2" xfId="13869" xr:uid="{ECE52FF6-A76B-45AA-B6BF-3406FF0D7FF8}"/>
    <cellStyle name="40% - Accent5 2 2 2 8" xfId="9652" xr:uid="{B95937F1-D5F8-40A2-8B73-3A4C4E03FBA2}"/>
    <cellStyle name="40% - Accent5 2 2 2 9" xfId="8819" xr:uid="{AF58EBDC-852E-4F4B-ACCD-F57CB3DC11A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27" xr:uid="{4741A54D-0B1B-498A-BE00-75DCD46D2C27}"/>
    <cellStyle name="40% - Accent5 2 2 3 2 3" xfId="12210" xr:uid="{685C6D4B-58E3-4105-890D-D7922178AA03}"/>
    <cellStyle name="40% - Accent5 2 2 3 3" xfId="5000" xr:uid="{00000000-0005-0000-0000-00005B060000}"/>
    <cellStyle name="40% - Accent5 2 2 3 3 2" xfId="14282" xr:uid="{9648640F-D2DC-4373-BB9B-CE62F283B9E5}"/>
    <cellStyle name="40% - Accent5 2 2 3 4" xfId="10065" xr:uid="{64C3A75F-BD25-4FC8-936A-2DD4BC48A33C}"/>
    <cellStyle name="40% - Accent5 2 2 3 5" xfId="9235" xr:uid="{30229FD3-05E7-4008-9D94-5CC89042476E}"/>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40" xr:uid="{4633E45F-B737-4F4B-99EC-E8DC3D5BA2C1}"/>
    <cellStyle name="40% - Accent5 2 2 4 2 3" xfId="12623" xr:uid="{CFFD665B-FA10-4582-8F76-7E4BF91E4DDF}"/>
    <cellStyle name="40% - Accent5 2 2 4 3" xfId="5413" xr:uid="{00000000-0005-0000-0000-00005F060000}"/>
    <cellStyle name="40% - Accent5 2 2 4 3 2" xfId="14695" xr:uid="{3B536F29-4D1E-4B8B-8CAE-ADDDD46075E1}"/>
    <cellStyle name="40% - Accent5 2 2 4 4" xfId="10478" xr:uid="{5CEB2D75-33C9-4319-BC8F-769DA2C64EB1}"/>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53" xr:uid="{03AB0DDB-C962-455A-BD0C-B3DD7618D9D8}"/>
    <cellStyle name="40% - Accent5 2 2 5 2 3" xfId="13036" xr:uid="{571DD550-EA04-4E76-95AB-8C1429A65FB1}"/>
    <cellStyle name="40% - Accent5 2 2 5 3" xfId="5826" xr:uid="{00000000-0005-0000-0000-000063060000}"/>
    <cellStyle name="40% - Accent5 2 2 5 3 2" xfId="15108" xr:uid="{7C5C0495-4F91-4C5B-A4D4-7A491BFC6A06}"/>
    <cellStyle name="40% - Accent5 2 2 5 4" xfId="10891" xr:uid="{F5E07FF3-7378-464D-B1E2-B3FED04D0E06}"/>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666" xr:uid="{B4C9700C-1BBB-4DE8-811B-D2B6860102A5}"/>
    <cellStyle name="40% - Accent5 2 2 6 2 3" xfId="13449" xr:uid="{733732A3-3690-480F-BF37-F799EBA7F5BF}"/>
    <cellStyle name="40% - Accent5 2 2 6 3" xfId="6239" xr:uid="{00000000-0005-0000-0000-000067060000}"/>
    <cellStyle name="40% - Accent5 2 2 6 3 2" xfId="15521" xr:uid="{37FF9F51-37F1-4C06-BA1E-B689EC5E61F6}"/>
    <cellStyle name="40% - Accent5 2 2 6 4" xfId="11304" xr:uid="{7FB53CE0-403F-4D09-ABFA-ED281E3F8F61}"/>
    <cellStyle name="40% - Accent5 2 2 7" xfId="2346" xr:uid="{00000000-0005-0000-0000-000068060000}"/>
    <cellStyle name="40% - Accent5 2 2 7 2" xfId="6652" xr:uid="{00000000-0005-0000-0000-000069060000}"/>
    <cellStyle name="40% - Accent5 2 2 7 2 2" xfId="15934" xr:uid="{ECE63DAC-A734-4644-BB99-B7BD9F379D26}"/>
    <cellStyle name="40% - Accent5 2 2 7 3" xfId="11717" xr:uid="{B23E13FD-6984-412C-A899-5A8C2FA297C0}"/>
    <cellStyle name="40% - Accent5 2 2 8" xfId="4586" xr:uid="{00000000-0005-0000-0000-00006A060000}"/>
    <cellStyle name="40% - Accent5 2 2 8 2" xfId="13868" xr:uid="{B3815C6A-BD59-4EC3-831E-F4DFE06B8939}"/>
    <cellStyle name="40% - Accent5 2 2 9" xfId="9651" xr:uid="{271E3D21-6905-456B-93B5-CA7C4F626774}"/>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29" xr:uid="{D5D71302-F904-4E54-9483-9793EC930391}"/>
    <cellStyle name="40% - Accent5 2 3 2 2 3" xfId="12212" xr:uid="{60FFE14D-3277-4363-99FE-C9F4CE1AE357}"/>
    <cellStyle name="40% - Accent5 2 3 2 3" xfId="5002" xr:uid="{00000000-0005-0000-0000-00006F060000}"/>
    <cellStyle name="40% - Accent5 2 3 2 3 2" xfId="14284" xr:uid="{0F4C1F3A-61AA-4983-98BC-77B87668AB76}"/>
    <cellStyle name="40% - Accent5 2 3 2 4" xfId="10067" xr:uid="{26BB2F71-1464-4E1C-BD22-AD001A1C82FC}"/>
    <cellStyle name="40% - Accent5 2 3 2 5" xfId="9237" xr:uid="{340C018F-A04F-4D8F-8079-AA0D898D2005}"/>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42" xr:uid="{E13646CC-F7C8-44D1-AD11-62013CCF3C69}"/>
    <cellStyle name="40% - Accent5 2 3 3 2 3" xfId="12625" xr:uid="{01F5E3D2-173C-4F05-9325-480605B94E11}"/>
    <cellStyle name="40% - Accent5 2 3 3 3" xfId="5415" xr:uid="{00000000-0005-0000-0000-000073060000}"/>
    <cellStyle name="40% - Accent5 2 3 3 3 2" xfId="14697" xr:uid="{74241235-352A-4FF7-8959-68F5B2F870E9}"/>
    <cellStyle name="40% - Accent5 2 3 3 4" xfId="10480" xr:uid="{7C869AF3-6D6B-4BE6-9D2B-E645CE6BC92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55" xr:uid="{A30C95AB-797D-47F4-B73B-F98B65F70FC8}"/>
    <cellStyle name="40% - Accent5 2 3 4 2 3" xfId="13038" xr:uid="{8DFAACDB-A582-48B4-9F0D-B9F299A5FE41}"/>
    <cellStyle name="40% - Accent5 2 3 4 3" xfId="5828" xr:uid="{00000000-0005-0000-0000-000077060000}"/>
    <cellStyle name="40% - Accent5 2 3 4 3 2" xfId="15110" xr:uid="{4D584A02-936B-40C0-8034-C5581E534950}"/>
    <cellStyle name="40% - Accent5 2 3 4 4" xfId="10893" xr:uid="{5446FCCB-A1CE-4DA5-8344-BFE4953022EF}"/>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668" xr:uid="{D479DD89-22E7-47BE-923D-557CD092DF4E}"/>
    <cellStyle name="40% - Accent5 2 3 5 2 3" xfId="13451" xr:uid="{2595648D-06FB-482B-91C6-3D9DDD549099}"/>
    <cellStyle name="40% - Accent5 2 3 5 3" xfId="6241" xr:uid="{00000000-0005-0000-0000-00007B060000}"/>
    <cellStyle name="40% - Accent5 2 3 5 3 2" xfId="15523" xr:uid="{7C5BD060-5760-4EFF-8FBF-FC7D84559994}"/>
    <cellStyle name="40% - Accent5 2 3 5 4" xfId="11306" xr:uid="{4374DDA3-CEBE-460D-BDED-62861002469D}"/>
    <cellStyle name="40% - Accent5 2 3 6" xfId="2348" xr:uid="{00000000-0005-0000-0000-00007C060000}"/>
    <cellStyle name="40% - Accent5 2 3 6 2" xfId="6654" xr:uid="{00000000-0005-0000-0000-00007D060000}"/>
    <cellStyle name="40% - Accent5 2 3 6 2 2" xfId="15936" xr:uid="{616AC0CE-0FB4-418C-A819-DA7CD7341B91}"/>
    <cellStyle name="40% - Accent5 2 3 6 3" xfId="11719" xr:uid="{EDE7388D-D185-4576-88CC-2AB8E562A58B}"/>
    <cellStyle name="40% - Accent5 2 3 7" xfId="4588" xr:uid="{00000000-0005-0000-0000-00007E060000}"/>
    <cellStyle name="40% - Accent5 2 3 7 2" xfId="13870" xr:uid="{648D7244-F3E5-4981-B609-0BA51773B12C}"/>
    <cellStyle name="40% - Accent5 2 3 8" xfId="9653" xr:uid="{CDDE549B-EA41-4A59-B94D-E6D82386A11F}"/>
    <cellStyle name="40% - Accent5 2 3 9" xfId="8820" xr:uid="{7E71D6AF-5314-49C6-913F-4ABE1F0A2434}"/>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26" xr:uid="{74A96E77-36F7-4F0A-B1FC-6567511295FB}"/>
    <cellStyle name="40% - Accent5 2 4 2 3" xfId="12209" xr:uid="{60EDBC87-1619-4AC9-BFF2-9EA7D094317A}"/>
    <cellStyle name="40% - Accent5 2 4 3" xfId="4999" xr:uid="{00000000-0005-0000-0000-000082060000}"/>
    <cellStyle name="40% - Accent5 2 4 3 2" xfId="14281" xr:uid="{D315AA47-BE23-48B2-AFA0-5258BA9E47B9}"/>
    <cellStyle name="40% - Accent5 2 4 4" xfId="10064" xr:uid="{A38B3A34-48AE-46E6-99EC-8E313DD92919}"/>
    <cellStyle name="40% - Accent5 2 4 5" xfId="9234" xr:uid="{DE83D951-12C8-4D09-849F-8515398A5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39" xr:uid="{84349273-4AE2-4B6E-9B8B-22A335EC5152}"/>
    <cellStyle name="40% - Accent5 2 5 2 3" xfId="12622" xr:uid="{15AA22F3-D6EF-44D8-A4D7-CE06FA2B9EC2}"/>
    <cellStyle name="40% - Accent5 2 5 3" xfId="5412" xr:uid="{00000000-0005-0000-0000-000086060000}"/>
    <cellStyle name="40% - Accent5 2 5 3 2" xfId="14694" xr:uid="{9AB3F9D2-11B7-468F-AAA4-8D5C60F27854}"/>
    <cellStyle name="40% - Accent5 2 5 4" xfId="10477" xr:uid="{DE589319-3872-42AE-BC05-67103214399E}"/>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52" xr:uid="{25D4D4EA-400F-4BCD-B86B-8753B63D2707}"/>
    <cellStyle name="40% - Accent5 2 6 2 3" xfId="13035" xr:uid="{56B44F03-593D-4FEA-A26B-51A2E8595509}"/>
    <cellStyle name="40% - Accent5 2 6 3" xfId="5825" xr:uid="{00000000-0005-0000-0000-00008A060000}"/>
    <cellStyle name="40% - Accent5 2 6 3 2" xfId="15107" xr:uid="{0B7B3EA6-AEA3-4193-ACE4-6423C10967F3}"/>
    <cellStyle name="40% - Accent5 2 6 4" xfId="10890" xr:uid="{23288446-4066-428F-BBE3-F400582AAA35}"/>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665" xr:uid="{4EB30C3B-7E57-469E-8B2C-7DBA6604FCBB}"/>
    <cellStyle name="40% - Accent5 2 7 2 3" xfId="13448" xr:uid="{86BEA85E-9A61-4522-8CA3-E2D64355D36C}"/>
    <cellStyle name="40% - Accent5 2 7 3" xfId="6238" xr:uid="{00000000-0005-0000-0000-00008E060000}"/>
    <cellStyle name="40% - Accent5 2 7 3 2" xfId="15520" xr:uid="{DA2B5EA6-73A3-419A-B4AC-7E1A5E36828F}"/>
    <cellStyle name="40% - Accent5 2 7 4" xfId="11303" xr:uid="{32716B2C-DF6B-4B90-8D67-01B186959BCD}"/>
    <cellStyle name="40% - Accent5 2 8" xfId="2345" xr:uid="{00000000-0005-0000-0000-00008F060000}"/>
    <cellStyle name="40% - Accent5 2 8 2" xfId="6651" xr:uid="{00000000-0005-0000-0000-000090060000}"/>
    <cellStyle name="40% - Accent5 2 8 2 2" xfId="15933" xr:uid="{57DB69F1-4C09-4CD8-838A-D1A6408E1819}"/>
    <cellStyle name="40% - Accent5 2 8 3" xfId="11716" xr:uid="{1541A0F5-F489-4C27-AF2F-DF99A314DA8E}"/>
    <cellStyle name="40% - Accent5 2 9" xfId="4585" xr:uid="{00000000-0005-0000-0000-000091060000}"/>
    <cellStyle name="40% - Accent5 2 9 2" xfId="13867" xr:uid="{46842D0D-1D2C-445B-9F74-BF54DA61F1B5}"/>
    <cellStyle name="40% - Accent5 3" xfId="86" xr:uid="{00000000-0005-0000-0000-000092060000}"/>
    <cellStyle name="40% - Accent5 3 10" xfId="8821" xr:uid="{A5648293-D534-44F6-9470-5F2A61775EE6}"/>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31" xr:uid="{1B2EBC38-5655-4DFD-B892-15F0992561C7}"/>
    <cellStyle name="40% - Accent5 3 2 2 2 3" xfId="12214" xr:uid="{C33B2636-508B-4F9F-A847-A3B93F09F086}"/>
    <cellStyle name="40% - Accent5 3 2 2 3" xfId="5004" xr:uid="{00000000-0005-0000-0000-000097060000}"/>
    <cellStyle name="40% - Accent5 3 2 2 3 2" xfId="14286" xr:uid="{F242737D-6073-4ECE-82C1-0FD4AC7CF9AC}"/>
    <cellStyle name="40% - Accent5 3 2 2 4" xfId="10069" xr:uid="{C5FF842E-3B97-4470-B5FA-FEB753B4AD28}"/>
    <cellStyle name="40% - Accent5 3 2 2 5" xfId="9239" xr:uid="{5C66A586-28CE-446B-896E-4BC0CD1DC4AE}"/>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44" xr:uid="{9B8E5054-2F23-419A-822A-E650D8856916}"/>
    <cellStyle name="40% - Accent5 3 2 3 2 3" xfId="12627" xr:uid="{57329140-6B33-425A-A5E6-D05CF15319CB}"/>
    <cellStyle name="40% - Accent5 3 2 3 3" xfId="5417" xr:uid="{00000000-0005-0000-0000-00009B060000}"/>
    <cellStyle name="40% - Accent5 3 2 3 3 2" xfId="14699" xr:uid="{8F0CBA77-75E6-4965-B991-9D5FCD7E77E7}"/>
    <cellStyle name="40% - Accent5 3 2 3 4" xfId="10482" xr:uid="{2E667D5C-5965-49FE-B72E-15EA8C501F0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257" xr:uid="{0BB45C1A-8555-46D0-A351-9C8E0C0662B9}"/>
    <cellStyle name="40% - Accent5 3 2 4 2 3" xfId="13040" xr:uid="{CC02995A-EFD6-44E2-8C74-0D4C42F36E3D}"/>
    <cellStyle name="40% - Accent5 3 2 4 3" xfId="5830" xr:uid="{00000000-0005-0000-0000-00009F060000}"/>
    <cellStyle name="40% - Accent5 3 2 4 3 2" xfId="15112" xr:uid="{BA2A68C1-12EE-42D5-B25E-15C99E744B1F}"/>
    <cellStyle name="40% - Accent5 3 2 4 4" xfId="10895" xr:uid="{49CD18DE-5D9F-4D8A-9258-133B5328112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670" xr:uid="{6D3E9A0C-0E23-4126-912F-272C808B6C08}"/>
    <cellStyle name="40% - Accent5 3 2 5 2 3" xfId="13453" xr:uid="{BAB2F278-6443-4EF4-87E5-0BA139D62CAC}"/>
    <cellStyle name="40% - Accent5 3 2 5 3" xfId="6243" xr:uid="{00000000-0005-0000-0000-0000A3060000}"/>
    <cellStyle name="40% - Accent5 3 2 5 3 2" xfId="15525" xr:uid="{D5385613-A660-4F52-8467-F9F0C31FC794}"/>
    <cellStyle name="40% - Accent5 3 2 5 4" xfId="11308" xr:uid="{6D285FE1-91F8-4E35-9790-B63F96336E1E}"/>
    <cellStyle name="40% - Accent5 3 2 6" xfId="2350" xr:uid="{00000000-0005-0000-0000-0000A4060000}"/>
    <cellStyle name="40% - Accent5 3 2 6 2" xfId="6656" xr:uid="{00000000-0005-0000-0000-0000A5060000}"/>
    <cellStyle name="40% - Accent5 3 2 6 2 2" xfId="15938" xr:uid="{0832A220-43DB-4F84-A699-51B4901AFBAD}"/>
    <cellStyle name="40% - Accent5 3 2 6 3" xfId="11721" xr:uid="{CAAB9E9E-5E88-465A-9421-FA4EC62B41D3}"/>
    <cellStyle name="40% - Accent5 3 2 7" xfId="4590" xr:uid="{00000000-0005-0000-0000-0000A6060000}"/>
    <cellStyle name="40% - Accent5 3 2 7 2" xfId="13872" xr:uid="{2A8F4F07-5BB6-4532-B17D-16E45BB6E805}"/>
    <cellStyle name="40% - Accent5 3 2 8" xfId="9655" xr:uid="{17C273BF-998A-4F56-8526-B6939FB1BCC8}"/>
    <cellStyle name="40% - Accent5 3 2 9" xfId="8822" xr:uid="{CC986C6C-EE52-4584-AA01-F2C4C5180B1B}"/>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30" xr:uid="{8C1ECB97-B73C-4ACD-8597-CF56B476ABA8}"/>
    <cellStyle name="40% - Accent5 3 3 2 3" xfId="12213" xr:uid="{AF4446CD-51F0-49A0-B22D-489C501EBA36}"/>
    <cellStyle name="40% - Accent5 3 3 3" xfId="5003" xr:uid="{00000000-0005-0000-0000-0000AA060000}"/>
    <cellStyle name="40% - Accent5 3 3 3 2" xfId="14285" xr:uid="{DFBC200F-02FF-4EFD-9D44-EA63484B1F7D}"/>
    <cellStyle name="40% - Accent5 3 3 4" xfId="10068" xr:uid="{4135D5F1-5E29-4F2F-BCE5-B65555A029FF}"/>
    <cellStyle name="40% - Accent5 3 3 5" xfId="9238" xr:uid="{5D524175-7026-4883-9DBE-E95BB72935D8}"/>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43" xr:uid="{8DBFC889-CB32-4D13-830E-1E589A112A69}"/>
    <cellStyle name="40% - Accent5 3 4 2 3" xfId="12626" xr:uid="{659A89B7-3A68-40C1-AA04-E1169F8CF16D}"/>
    <cellStyle name="40% - Accent5 3 4 3" xfId="5416" xr:uid="{00000000-0005-0000-0000-0000AE060000}"/>
    <cellStyle name="40% - Accent5 3 4 3 2" xfId="14698" xr:uid="{42A0D393-D22E-466E-B511-8196C98AAC50}"/>
    <cellStyle name="40% - Accent5 3 4 4" xfId="10481" xr:uid="{FC5C8D3B-F62F-4455-9ED8-A3CDC8742CEC}"/>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256" xr:uid="{553B3530-B586-4436-98AB-D0CACA89997E}"/>
    <cellStyle name="40% - Accent5 3 5 2 3" xfId="13039" xr:uid="{2BC6343D-95AD-4292-A626-82BD0176DCB7}"/>
    <cellStyle name="40% - Accent5 3 5 3" xfId="5829" xr:uid="{00000000-0005-0000-0000-0000B2060000}"/>
    <cellStyle name="40% - Accent5 3 5 3 2" xfId="15111" xr:uid="{EF0B8549-EDFF-4F9C-BA7E-BAE4EF716934}"/>
    <cellStyle name="40% - Accent5 3 5 4" xfId="10894" xr:uid="{8C05384D-55B7-4617-91AC-F2705AFB79B1}"/>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669" xr:uid="{1473F493-FED0-4877-BAD0-3E475AD8B257}"/>
    <cellStyle name="40% - Accent5 3 6 2 3" xfId="13452" xr:uid="{18CE5A79-8847-4778-85AA-2114B5AE0F06}"/>
    <cellStyle name="40% - Accent5 3 6 3" xfId="6242" xr:uid="{00000000-0005-0000-0000-0000B6060000}"/>
    <cellStyle name="40% - Accent5 3 6 3 2" xfId="15524" xr:uid="{1814FD28-96AF-4659-B242-20D6CAE8C5B9}"/>
    <cellStyle name="40% - Accent5 3 6 4" xfId="11307" xr:uid="{D9B035F7-6268-44F5-9897-086DCD8B03BC}"/>
    <cellStyle name="40% - Accent5 3 7" xfId="2349" xr:uid="{00000000-0005-0000-0000-0000B7060000}"/>
    <cellStyle name="40% - Accent5 3 7 2" xfId="6655" xr:uid="{00000000-0005-0000-0000-0000B8060000}"/>
    <cellStyle name="40% - Accent5 3 7 2 2" xfId="15937" xr:uid="{EBAC5F62-1471-4483-B738-04540F0539FE}"/>
    <cellStyle name="40% - Accent5 3 7 3" xfId="11720" xr:uid="{983556FA-EDAC-4B2E-969D-D578BB6274EE}"/>
    <cellStyle name="40% - Accent5 3 8" xfId="4589" xr:uid="{00000000-0005-0000-0000-0000B9060000}"/>
    <cellStyle name="40% - Accent5 3 8 2" xfId="13871" xr:uid="{A68E2F95-9237-4F10-A738-7B3B678BB19C}"/>
    <cellStyle name="40% - Accent5 3 9" xfId="9654" xr:uid="{CC652C38-1AA3-4FF9-BE2F-BC6ABB4A2BF8}"/>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32" xr:uid="{B1E9D780-40D3-40B6-939F-7AA14F508FC0}"/>
    <cellStyle name="40% - Accent5 4 2 2 3" xfId="12215" xr:uid="{A0BD1357-1B5D-4D3C-B2F5-7DECE98E1C6F}"/>
    <cellStyle name="40% - Accent5 4 2 3" xfId="5005" xr:uid="{00000000-0005-0000-0000-0000BE060000}"/>
    <cellStyle name="40% - Accent5 4 2 3 2" xfId="14287" xr:uid="{395A0BE8-BEBD-437B-BA80-038C141E943C}"/>
    <cellStyle name="40% - Accent5 4 2 4" xfId="10070" xr:uid="{0EC729F3-C475-44AF-A8C2-4061821B73FB}"/>
    <cellStyle name="40% - Accent5 4 2 5" xfId="9240" xr:uid="{1DD0D1DD-8DC4-4692-8FE0-D4E90CB3AB0E}"/>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45" xr:uid="{F4527B71-D0A8-494C-8469-9E416C86B917}"/>
    <cellStyle name="40% - Accent5 4 3 2 3" xfId="12628" xr:uid="{BAD64333-72F7-4FC3-909F-73BB8E728438}"/>
    <cellStyle name="40% - Accent5 4 3 3" xfId="5418" xr:uid="{00000000-0005-0000-0000-0000C2060000}"/>
    <cellStyle name="40% - Accent5 4 3 3 2" xfId="14700" xr:uid="{8167E947-A1CB-46AE-A1E7-C09BE70EB2A6}"/>
    <cellStyle name="40% - Accent5 4 3 4" xfId="10483" xr:uid="{0FAD3FC0-317C-4E65-BB59-A1CE495EA70B}"/>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258" xr:uid="{BD1C4E65-EDAB-4E66-BFD7-AC7D5226EF43}"/>
    <cellStyle name="40% - Accent5 4 4 2 3" xfId="13041" xr:uid="{8D435BDF-651B-44A8-8F79-595DF99454A2}"/>
    <cellStyle name="40% - Accent5 4 4 3" xfId="5831" xr:uid="{00000000-0005-0000-0000-0000C6060000}"/>
    <cellStyle name="40% - Accent5 4 4 3 2" xfId="15113" xr:uid="{8B43ED63-AFB4-4C81-B392-2839994F10FD}"/>
    <cellStyle name="40% - Accent5 4 4 4" xfId="10896" xr:uid="{67A696DE-FF68-4504-ABE2-543A26523EA8}"/>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671" xr:uid="{F9DF77E5-C7B1-4E2A-8700-DC41C61D0D7F}"/>
    <cellStyle name="40% - Accent5 4 5 2 3" xfId="13454" xr:uid="{6E86D8CE-EDBD-4F6C-A280-4CDFDB4AD285}"/>
    <cellStyle name="40% - Accent5 4 5 3" xfId="6244" xr:uid="{00000000-0005-0000-0000-0000CA060000}"/>
    <cellStyle name="40% - Accent5 4 5 3 2" xfId="15526" xr:uid="{6F226DE6-C0DB-4B43-BD33-2D0BAACAEC04}"/>
    <cellStyle name="40% - Accent5 4 5 4" xfId="11309" xr:uid="{3FF1D038-C914-42B0-BD14-6AFB331D7C39}"/>
    <cellStyle name="40% - Accent5 4 6" xfId="2351" xr:uid="{00000000-0005-0000-0000-0000CB060000}"/>
    <cellStyle name="40% - Accent5 4 6 2" xfId="6657" xr:uid="{00000000-0005-0000-0000-0000CC060000}"/>
    <cellStyle name="40% - Accent5 4 6 2 2" xfId="15939" xr:uid="{FDCD4756-F013-428E-A976-EF2492F056D3}"/>
    <cellStyle name="40% - Accent5 4 6 3" xfId="11722" xr:uid="{F4CFB70C-C4EE-4215-9E0F-1ADAAE44491E}"/>
    <cellStyle name="40% - Accent5 4 7" xfId="4591" xr:uid="{00000000-0005-0000-0000-0000CD060000}"/>
    <cellStyle name="40% - Accent5 4 7 2" xfId="13873" xr:uid="{39362F89-B38F-48D4-AD5B-AE4AC5698D37}"/>
    <cellStyle name="40% - Accent5 4 8" xfId="9656" xr:uid="{6EB13731-0F2D-48F5-AF8D-A00FE0B9DFE2}"/>
    <cellStyle name="40% - Accent5 4 9" xfId="8823" xr:uid="{296D4D16-336E-47A8-B7D5-88A900DAAB5F}"/>
    <cellStyle name="40% - Accent5 5" xfId="650" xr:uid="{00000000-0005-0000-0000-0000CE060000}"/>
    <cellStyle name="40% - Accent5 5 2" xfId="2921" xr:uid="{00000000-0005-0000-0000-0000CF060000}"/>
    <cellStyle name="40% - Accent5 5 2 2" xfId="7143" xr:uid="{00000000-0005-0000-0000-0000D0060000}"/>
    <cellStyle name="40% - Accent5 5 2 2 2" xfId="16425" xr:uid="{56537694-9F3E-414C-9F87-F3E47763B6EB}"/>
    <cellStyle name="40% - Accent5 5 2 3" xfId="12208" xr:uid="{E90F7757-645C-43D8-9B83-F1FE4584F887}"/>
    <cellStyle name="40% - Accent5 5 3" xfId="4998" xr:uid="{00000000-0005-0000-0000-0000D1060000}"/>
    <cellStyle name="40% - Accent5 5 3 2" xfId="14280" xr:uid="{24DE05C2-B601-4D4C-AB87-FC9FDE38179D}"/>
    <cellStyle name="40% - Accent5 5 4" xfId="10063" xr:uid="{6EA6B265-A746-4E69-B43B-55295141D7CA}"/>
    <cellStyle name="40% - Accent5 5 5" xfId="9233" xr:uid="{DEA0B7FB-DED2-4B59-939E-2CB40B697B12}"/>
    <cellStyle name="40% - Accent5 6" xfId="1103" xr:uid="{00000000-0005-0000-0000-0000D2060000}"/>
    <cellStyle name="40% - Accent5 6 2" xfId="3334" xr:uid="{00000000-0005-0000-0000-0000D3060000}"/>
    <cellStyle name="40% - Accent5 6 2 2" xfId="7556" xr:uid="{00000000-0005-0000-0000-0000D4060000}"/>
    <cellStyle name="40% - Accent5 6 2 2 2" xfId="16838" xr:uid="{B9F1048C-9557-4A24-BB6B-985567AC2EDC}"/>
    <cellStyle name="40% - Accent5 6 2 3" xfId="12621" xr:uid="{4344700B-EE93-4121-AA3B-1AEE8F7EC1AB}"/>
    <cellStyle name="40% - Accent5 6 3" xfId="5411" xr:uid="{00000000-0005-0000-0000-0000D5060000}"/>
    <cellStyle name="40% - Accent5 6 3 2" xfId="14693" xr:uid="{82DE8569-0F79-4018-8AA7-3D66A552C11D}"/>
    <cellStyle name="40% - Accent5 6 4" xfId="10476" xr:uid="{D5C7AA08-B2BC-43E5-87F2-A33BBB75E1E9}"/>
    <cellStyle name="40% - Accent5 7" xfId="1517" xr:uid="{00000000-0005-0000-0000-0000D6060000}"/>
    <cellStyle name="40% - Accent5 7 2" xfId="3747" xr:uid="{00000000-0005-0000-0000-0000D7060000}"/>
    <cellStyle name="40% - Accent5 7 2 2" xfId="7969" xr:uid="{00000000-0005-0000-0000-0000D8060000}"/>
    <cellStyle name="40% - Accent5 7 2 2 2" xfId="17251" xr:uid="{8E43144D-0B9D-484D-8494-562D4E52BE4C}"/>
    <cellStyle name="40% - Accent5 7 2 3" xfId="13034" xr:uid="{8ABBD580-8E00-403A-8F74-CFA12F241E69}"/>
    <cellStyle name="40% - Accent5 7 3" xfId="5824" xr:uid="{00000000-0005-0000-0000-0000D9060000}"/>
    <cellStyle name="40% - Accent5 7 3 2" xfId="15106" xr:uid="{0AFA6609-9FE0-4D55-888E-FB85C56D52F0}"/>
    <cellStyle name="40% - Accent5 7 4" xfId="10889" xr:uid="{9F1F3BC9-005D-4F28-A3C2-65DFA92418AD}"/>
    <cellStyle name="40% - Accent5 8" xfId="1931" xr:uid="{00000000-0005-0000-0000-0000DA060000}"/>
    <cellStyle name="40% - Accent5 8 2" xfId="4160" xr:uid="{00000000-0005-0000-0000-0000DB060000}"/>
    <cellStyle name="40% - Accent5 8 2 2" xfId="8382" xr:uid="{00000000-0005-0000-0000-0000DC060000}"/>
    <cellStyle name="40% - Accent5 8 2 2 2" xfId="17664" xr:uid="{1607B436-507C-4BC6-A9DC-EA698C1C430E}"/>
    <cellStyle name="40% - Accent5 8 2 3" xfId="13447" xr:uid="{8EBB7C4B-1428-4A22-B107-20A4938D9FDA}"/>
    <cellStyle name="40% - Accent5 8 3" xfId="6237" xr:uid="{00000000-0005-0000-0000-0000DD060000}"/>
    <cellStyle name="40% - Accent5 8 3 2" xfId="15519" xr:uid="{7F3B5DBB-7D6C-40C4-9B08-8D070D4ECE70}"/>
    <cellStyle name="40% - Accent5 8 4" xfId="11302" xr:uid="{A071773A-8DA0-4884-90A1-04A541F49090}"/>
    <cellStyle name="40% - Accent5 9" xfId="2344" xr:uid="{00000000-0005-0000-0000-0000DE060000}"/>
    <cellStyle name="40% - Accent5 9 2" xfId="6650" xr:uid="{00000000-0005-0000-0000-0000DF060000}"/>
    <cellStyle name="40% - Accent5 9 2 2" xfId="15932" xr:uid="{E16A60F9-6600-414B-B7DF-08896A402F99}"/>
    <cellStyle name="40% - Accent5 9 3" xfId="11715" xr:uid="{3337464B-17F8-4122-A396-9C050EF9AC12}"/>
    <cellStyle name="40% - Accent6" xfId="89" builtinId="51" customBuiltin="1"/>
    <cellStyle name="40% - Accent6 10" xfId="4592" xr:uid="{00000000-0005-0000-0000-0000E1060000}"/>
    <cellStyle name="40% - Accent6 10 2" xfId="13874" xr:uid="{E7497C1F-BEE0-476B-B2F5-3D0EC79A04E1}"/>
    <cellStyle name="40% - Accent6 11" xfId="9657" xr:uid="{FC4FFFBB-73E8-462F-A292-CB0BBF570217}"/>
    <cellStyle name="40% - Accent6 12" xfId="8824" xr:uid="{EF0B5FC9-73C8-4946-A4D9-36FCAB7B786C}"/>
    <cellStyle name="40% - Accent6 2" xfId="90" xr:uid="{00000000-0005-0000-0000-0000E2060000}"/>
    <cellStyle name="40% - Accent6 2 10" xfId="9658" xr:uid="{F88A74A2-3713-48FB-87D1-3EB69569B05F}"/>
    <cellStyle name="40% - Accent6 2 11" xfId="8825" xr:uid="{56F02D45-AAA2-4307-B287-0ADF40D427BA}"/>
    <cellStyle name="40% - Accent6 2 2" xfId="91" xr:uid="{00000000-0005-0000-0000-0000E3060000}"/>
    <cellStyle name="40% - Accent6 2 2 10" xfId="8826" xr:uid="{EA1E1376-F4BA-4252-95B1-928D5EF16ACF}"/>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36" xr:uid="{0BDDCDCE-4A2C-4AF0-85E0-AEF8A48B0879}"/>
    <cellStyle name="40% - Accent6 2 2 2 2 2 3" xfId="12219" xr:uid="{D7A47245-EAF5-48C2-98DD-240A193928FB}"/>
    <cellStyle name="40% - Accent6 2 2 2 2 3" xfId="5009" xr:uid="{00000000-0005-0000-0000-0000E8060000}"/>
    <cellStyle name="40% - Accent6 2 2 2 2 3 2" xfId="14291" xr:uid="{991B93F8-43DB-4B40-A247-111E79857408}"/>
    <cellStyle name="40% - Accent6 2 2 2 2 4" xfId="10074" xr:uid="{515D6C21-BCFA-4D0F-ABAF-258A3E5F7DF6}"/>
    <cellStyle name="40% - Accent6 2 2 2 2 5" xfId="9244" xr:uid="{A090DA0F-E9B9-4DDC-961F-55BE0BEB5263}"/>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49" xr:uid="{8D29E968-757D-4FF4-B971-5FA836923309}"/>
    <cellStyle name="40% - Accent6 2 2 2 3 2 3" xfId="12632" xr:uid="{88F079E0-D2C5-4420-BBD7-DC3F0E837D97}"/>
    <cellStyle name="40% - Accent6 2 2 2 3 3" xfId="5422" xr:uid="{00000000-0005-0000-0000-0000EC060000}"/>
    <cellStyle name="40% - Accent6 2 2 2 3 3 2" xfId="14704" xr:uid="{15EE5108-29BE-4757-A9BE-25F8AA281362}"/>
    <cellStyle name="40% - Accent6 2 2 2 3 4" xfId="10487" xr:uid="{06CEB90E-81D8-4CAB-B1BF-A87A27D1D44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262" xr:uid="{99DE0733-DCF9-4ACD-857B-B3211F027819}"/>
    <cellStyle name="40% - Accent6 2 2 2 4 2 3" xfId="13045" xr:uid="{B2772839-4CBF-49AD-8960-697EF39AF6D3}"/>
    <cellStyle name="40% - Accent6 2 2 2 4 3" xfId="5835" xr:uid="{00000000-0005-0000-0000-0000F0060000}"/>
    <cellStyle name="40% - Accent6 2 2 2 4 3 2" xfId="15117" xr:uid="{B2964808-6DB1-4D2F-9C70-27398827A29C}"/>
    <cellStyle name="40% - Accent6 2 2 2 4 4" xfId="10900" xr:uid="{2B7E2656-3E4B-4B16-95D0-EFDFD28F63BF}"/>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675" xr:uid="{CEF98BE9-FBD8-4A27-B123-4A07AE4DD252}"/>
    <cellStyle name="40% - Accent6 2 2 2 5 2 3" xfId="13458" xr:uid="{81AF7EE6-A56C-4986-93B8-F4B08FD1438E}"/>
    <cellStyle name="40% - Accent6 2 2 2 5 3" xfId="6248" xr:uid="{00000000-0005-0000-0000-0000F4060000}"/>
    <cellStyle name="40% - Accent6 2 2 2 5 3 2" xfId="15530" xr:uid="{C2B3A044-D681-4F20-96F0-E757511DEB10}"/>
    <cellStyle name="40% - Accent6 2 2 2 5 4" xfId="11313" xr:uid="{B8827AAD-05FE-4BE3-A0C6-6BB1474551A3}"/>
    <cellStyle name="40% - Accent6 2 2 2 6" xfId="2355" xr:uid="{00000000-0005-0000-0000-0000F5060000}"/>
    <cellStyle name="40% - Accent6 2 2 2 6 2" xfId="6661" xr:uid="{00000000-0005-0000-0000-0000F6060000}"/>
    <cellStyle name="40% - Accent6 2 2 2 6 2 2" xfId="15943" xr:uid="{ABFF5AC2-C2E3-4DA8-A706-B7A1A5A262B0}"/>
    <cellStyle name="40% - Accent6 2 2 2 6 3" xfId="11726" xr:uid="{EFD924E4-E180-4457-A836-75B28B8D8953}"/>
    <cellStyle name="40% - Accent6 2 2 2 7" xfId="4595" xr:uid="{00000000-0005-0000-0000-0000F7060000}"/>
    <cellStyle name="40% - Accent6 2 2 2 7 2" xfId="13877" xr:uid="{7A6EC675-B8FB-4B2D-BA7C-0A92A92367BB}"/>
    <cellStyle name="40% - Accent6 2 2 2 8" xfId="9660" xr:uid="{79FEEC50-1F86-4D67-BD7D-3911909B71D0}"/>
    <cellStyle name="40% - Accent6 2 2 2 9" xfId="8827" xr:uid="{1ABCB620-D013-4137-990E-9DA05BAE9B4C}"/>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35" xr:uid="{36EDB048-F11E-4B84-ACCA-61057D733283}"/>
    <cellStyle name="40% - Accent6 2 2 3 2 3" xfId="12218" xr:uid="{5D87CDD8-5D0B-4F79-B8F0-0C4175D91FFA}"/>
    <cellStyle name="40% - Accent6 2 2 3 3" xfId="5008" xr:uid="{00000000-0005-0000-0000-0000FB060000}"/>
    <cellStyle name="40% - Accent6 2 2 3 3 2" xfId="14290" xr:uid="{B34F7305-5676-4E8F-91B2-858AA6F068EB}"/>
    <cellStyle name="40% - Accent6 2 2 3 4" xfId="10073" xr:uid="{68D7ACE8-F42A-4FA7-8A13-5C4AAB398525}"/>
    <cellStyle name="40% - Accent6 2 2 3 5" xfId="9243" xr:uid="{FF55C303-38DC-489A-826C-0DFD7761D6D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48" xr:uid="{7C22724D-8D38-466E-AF79-32485A7D215A}"/>
    <cellStyle name="40% - Accent6 2 2 4 2 3" xfId="12631" xr:uid="{5EE6E4A4-C2EB-4093-AA4E-5C6A4511B03F}"/>
    <cellStyle name="40% - Accent6 2 2 4 3" xfId="5421" xr:uid="{00000000-0005-0000-0000-0000FF060000}"/>
    <cellStyle name="40% - Accent6 2 2 4 3 2" xfId="14703" xr:uid="{EA5F4848-93BB-467C-9623-F4039D3FD1F2}"/>
    <cellStyle name="40% - Accent6 2 2 4 4" xfId="10486" xr:uid="{C5EBF584-468C-4B39-8959-6AB96DDB9A06}"/>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261" xr:uid="{DE224B68-3FAB-4D32-94C9-35939A3056D7}"/>
    <cellStyle name="40% - Accent6 2 2 5 2 3" xfId="13044" xr:uid="{DF3B4EEE-A708-4E16-9C0F-D4E77927D431}"/>
    <cellStyle name="40% - Accent6 2 2 5 3" xfId="5834" xr:uid="{00000000-0005-0000-0000-000003070000}"/>
    <cellStyle name="40% - Accent6 2 2 5 3 2" xfId="15116" xr:uid="{0E1E32EC-3896-423C-B2F6-39B2216A96E9}"/>
    <cellStyle name="40% - Accent6 2 2 5 4" xfId="10899" xr:uid="{A2E08C27-2E3D-4FEF-898A-9565253E894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674" xr:uid="{EA3A886E-7815-4280-9061-A158336954BA}"/>
    <cellStyle name="40% - Accent6 2 2 6 2 3" xfId="13457" xr:uid="{2D1B86B0-97C4-4FC9-B3E5-0944225990EC}"/>
    <cellStyle name="40% - Accent6 2 2 6 3" xfId="6247" xr:uid="{00000000-0005-0000-0000-000007070000}"/>
    <cellStyle name="40% - Accent6 2 2 6 3 2" xfId="15529" xr:uid="{0F142D8C-30DB-49D6-8FBC-B08CE87E4E38}"/>
    <cellStyle name="40% - Accent6 2 2 6 4" xfId="11312" xr:uid="{EA309016-81F4-47DC-929A-E6D45312751E}"/>
    <cellStyle name="40% - Accent6 2 2 7" xfId="2354" xr:uid="{00000000-0005-0000-0000-000008070000}"/>
    <cellStyle name="40% - Accent6 2 2 7 2" xfId="6660" xr:uid="{00000000-0005-0000-0000-000009070000}"/>
    <cellStyle name="40% - Accent6 2 2 7 2 2" xfId="15942" xr:uid="{4EB8F608-77F5-46C1-BDA6-DD61CDCC762F}"/>
    <cellStyle name="40% - Accent6 2 2 7 3" xfId="11725" xr:uid="{DAEEC1C1-83C6-4341-8F68-EF28159CE88C}"/>
    <cellStyle name="40% - Accent6 2 2 8" xfId="4594" xr:uid="{00000000-0005-0000-0000-00000A070000}"/>
    <cellStyle name="40% - Accent6 2 2 8 2" xfId="13876" xr:uid="{618303ED-6DD0-4B05-A5B8-6F1EF47FFE07}"/>
    <cellStyle name="40% - Accent6 2 2 9" xfId="9659" xr:uid="{39683E31-2FDC-4FF4-913F-C7F91C24740A}"/>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37" xr:uid="{B6636D3F-4C21-466B-B579-E60B1D7CED10}"/>
    <cellStyle name="40% - Accent6 2 3 2 2 3" xfId="12220" xr:uid="{207527AD-8170-4C2C-B3AB-BEB0A5F85709}"/>
    <cellStyle name="40% - Accent6 2 3 2 3" xfId="5010" xr:uid="{00000000-0005-0000-0000-00000F070000}"/>
    <cellStyle name="40% - Accent6 2 3 2 3 2" xfId="14292" xr:uid="{F1AC7D79-BB99-4E20-887C-452FCBBA5815}"/>
    <cellStyle name="40% - Accent6 2 3 2 4" xfId="10075" xr:uid="{E22C8FE1-D932-4A32-AE87-ABA7EC2C0AF1}"/>
    <cellStyle name="40% - Accent6 2 3 2 5" xfId="9245" xr:uid="{F8836269-56D4-41D9-8451-7DFB61B3D0F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50" xr:uid="{DF8E1CA6-BA34-40E9-B1B7-51AAE30BAC88}"/>
    <cellStyle name="40% - Accent6 2 3 3 2 3" xfId="12633" xr:uid="{614681AE-7F15-471D-A3DF-B4FA868FA515}"/>
    <cellStyle name="40% - Accent6 2 3 3 3" xfId="5423" xr:uid="{00000000-0005-0000-0000-000013070000}"/>
    <cellStyle name="40% - Accent6 2 3 3 3 2" xfId="14705" xr:uid="{23BD92E4-68BA-4C78-88B7-FF33A4DE9C05}"/>
    <cellStyle name="40% - Accent6 2 3 3 4" xfId="10488" xr:uid="{932DD047-0C9D-4B3E-8442-B65EB64D2FD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263" xr:uid="{5B9F3284-C57E-41F5-9DAB-C59F24D23E1F}"/>
    <cellStyle name="40% - Accent6 2 3 4 2 3" xfId="13046" xr:uid="{1D45D046-F2A5-4BA2-BDB3-4EDB60EB0784}"/>
    <cellStyle name="40% - Accent6 2 3 4 3" xfId="5836" xr:uid="{00000000-0005-0000-0000-000017070000}"/>
    <cellStyle name="40% - Accent6 2 3 4 3 2" xfId="15118" xr:uid="{158DF2CD-7C3A-400B-988E-257B5AF656A9}"/>
    <cellStyle name="40% - Accent6 2 3 4 4" xfId="10901" xr:uid="{2C5ECCA3-70E4-45C1-9AB5-A72B555A03CC}"/>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676" xr:uid="{21D6DDCA-648A-47FF-8E0D-142364BF0709}"/>
    <cellStyle name="40% - Accent6 2 3 5 2 3" xfId="13459" xr:uid="{DCEC0C55-2AB8-4CB4-8BD8-5F35980AF6DF}"/>
    <cellStyle name="40% - Accent6 2 3 5 3" xfId="6249" xr:uid="{00000000-0005-0000-0000-00001B070000}"/>
    <cellStyle name="40% - Accent6 2 3 5 3 2" xfId="15531" xr:uid="{A430E558-7747-4C42-8AD6-A5B99373AAB3}"/>
    <cellStyle name="40% - Accent6 2 3 5 4" xfId="11314" xr:uid="{538061BE-B8E0-429B-BCCA-FC870812CCE8}"/>
    <cellStyle name="40% - Accent6 2 3 6" xfId="2356" xr:uid="{00000000-0005-0000-0000-00001C070000}"/>
    <cellStyle name="40% - Accent6 2 3 6 2" xfId="6662" xr:uid="{00000000-0005-0000-0000-00001D070000}"/>
    <cellStyle name="40% - Accent6 2 3 6 2 2" xfId="15944" xr:uid="{AB900F33-2EDB-4692-B4E8-FB3325D0137A}"/>
    <cellStyle name="40% - Accent6 2 3 6 3" xfId="11727" xr:uid="{DF066493-FC68-49BA-88E5-15315AE63DEF}"/>
    <cellStyle name="40% - Accent6 2 3 7" xfId="4596" xr:uid="{00000000-0005-0000-0000-00001E070000}"/>
    <cellStyle name="40% - Accent6 2 3 7 2" xfId="13878" xr:uid="{31B7E21C-D968-420C-A989-B8784402B079}"/>
    <cellStyle name="40% - Accent6 2 3 8" xfId="9661" xr:uid="{8509861A-5801-45CF-90F5-0AF97A23D3D7}"/>
    <cellStyle name="40% - Accent6 2 3 9" xfId="8828" xr:uid="{CFB39695-DF11-4282-A37E-074E130579B0}"/>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34" xr:uid="{8754E90F-3B95-483C-A16A-6C2C9BF0177C}"/>
    <cellStyle name="40% - Accent6 2 4 2 3" xfId="12217" xr:uid="{4AA5D74C-6522-4669-8D20-F5223BB6E8C8}"/>
    <cellStyle name="40% - Accent6 2 4 3" xfId="5007" xr:uid="{00000000-0005-0000-0000-000022070000}"/>
    <cellStyle name="40% - Accent6 2 4 3 2" xfId="14289" xr:uid="{0D63512A-555F-4B80-99C4-E371EB6BF9FB}"/>
    <cellStyle name="40% - Accent6 2 4 4" xfId="10072" xr:uid="{E42A44DC-FEAB-4482-8AD3-925CB2DEA3FC}"/>
    <cellStyle name="40% - Accent6 2 4 5" xfId="9242" xr:uid="{6EAE5EC1-1ACF-4DCD-B007-C561EA49F8EB}"/>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47" xr:uid="{1B5F2E2A-BA42-425D-A4FC-01A78AACB10E}"/>
    <cellStyle name="40% - Accent6 2 5 2 3" xfId="12630" xr:uid="{D960BCEE-FD41-45CC-A252-0CE7B054F232}"/>
    <cellStyle name="40% - Accent6 2 5 3" xfId="5420" xr:uid="{00000000-0005-0000-0000-000026070000}"/>
    <cellStyle name="40% - Accent6 2 5 3 2" xfId="14702" xr:uid="{7503B5E5-D46A-4248-96EF-5B35225B0A24}"/>
    <cellStyle name="40% - Accent6 2 5 4" xfId="10485" xr:uid="{B67012EA-B01B-499A-96F9-E410B214B59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260" xr:uid="{CFBE463A-13D6-4CD3-9D4B-E65C7BA5917B}"/>
    <cellStyle name="40% - Accent6 2 6 2 3" xfId="13043" xr:uid="{59ECFBFA-F7CA-4488-91D7-1CCEFE0BB611}"/>
    <cellStyle name="40% - Accent6 2 6 3" xfId="5833" xr:uid="{00000000-0005-0000-0000-00002A070000}"/>
    <cellStyle name="40% - Accent6 2 6 3 2" xfId="15115" xr:uid="{2BB43CBB-AB09-41BA-8B2C-DDFDC5253B3A}"/>
    <cellStyle name="40% - Accent6 2 6 4" xfId="10898" xr:uid="{AD661ECF-56A5-4AB0-8A5E-D637AACFCAA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673" xr:uid="{55C7C83C-71B1-4A08-AE90-509F913295A2}"/>
    <cellStyle name="40% - Accent6 2 7 2 3" xfId="13456" xr:uid="{E8744A10-CBAB-4B21-B8EF-6781E4C2C0FE}"/>
    <cellStyle name="40% - Accent6 2 7 3" xfId="6246" xr:uid="{00000000-0005-0000-0000-00002E070000}"/>
    <cellStyle name="40% - Accent6 2 7 3 2" xfId="15528" xr:uid="{B65BFA0B-2380-460E-B3B4-0E0B08DDFFA7}"/>
    <cellStyle name="40% - Accent6 2 7 4" xfId="11311" xr:uid="{5F059543-6E1B-44ED-A73F-80D4A1301652}"/>
    <cellStyle name="40% - Accent6 2 8" xfId="2353" xr:uid="{00000000-0005-0000-0000-00002F070000}"/>
    <cellStyle name="40% - Accent6 2 8 2" xfId="6659" xr:uid="{00000000-0005-0000-0000-000030070000}"/>
    <cellStyle name="40% - Accent6 2 8 2 2" xfId="15941" xr:uid="{02A514E8-9FB9-440C-9EDC-89846A558CE4}"/>
    <cellStyle name="40% - Accent6 2 8 3" xfId="11724" xr:uid="{B89AC1C5-D4C6-4F8A-A0B3-5C8D7CBDD0A3}"/>
    <cellStyle name="40% - Accent6 2 9" xfId="4593" xr:uid="{00000000-0005-0000-0000-000031070000}"/>
    <cellStyle name="40% - Accent6 2 9 2" xfId="13875" xr:uid="{B59CAF3A-8DAC-4E9A-8E44-C005BE9A70D0}"/>
    <cellStyle name="40% - Accent6 3" xfId="94" xr:uid="{00000000-0005-0000-0000-000032070000}"/>
    <cellStyle name="40% - Accent6 3 10" xfId="8829" xr:uid="{4273CB63-A5D6-4B0C-8468-A075FC6B0F23}"/>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39" xr:uid="{DCFE04CB-D959-4682-9537-4BF6D6934809}"/>
    <cellStyle name="40% - Accent6 3 2 2 2 3" xfId="12222" xr:uid="{2FE9F6C3-4D34-4927-BF99-9D3481A55A33}"/>
    <cellStyle name="40% - Accent6 3 2 2 3" xfId="5012" xr:uid="{00000000-0005-0000-0000-000037070000}"/>
    <cellStyle name="40% - Accent6 3 2 2 3 2" xfId="14294" xr:uid="{9E17237F-9A7D-466F-BECD-6F3C9F98F576}"/>
    <cellStyle name="40% - Accent6 3 2 2 4" xfId="10077" xr:uid="{07704995-FFAF-4203-8690-F4DA01D0D8B4}"/>
    <cellStyle name="40% - Accent6 3 2 2 5" xfId="9247" xr:uid="{D6221806-C10B-4CA9-95B5-9D327CC78654}"/>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52" xr:uid="{F6F2327A-CD01-496F-BE6B-056398F7EFE1}"/>
    <cellStyle name="40% - Accent6 3 2 3 2 3" xfId="12635" xr:uid="{B08A2805-FDD7-45BC-A6E9-5A815C9DC03B}"/>
    <cellStyle name="40% - Accent6 3 2 3 3" xfId="5425" xr:uid="{00000000-0005-0000-0000-00003B070000}"/>
    <cellStyle name="40% - Accent6 3 2 3 3 2" xfId="14707" xr:uid="{8BB4C0BD-E7E5-4A89-B456-4FB2D435F909}"/>
    <cellStyle name="40% - Accent6 3 2 3 4" xfId="10490" xr:uid="{C4D18F4E-4D02-4563-A2B8-5E3B7C10DC93}"/>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265" xr:uid="{C846CE97-B7B6-44E8-9ACF-7E402657BB3F}"/>
    <cellStyle name="40% - Accent6 3 2 4 2 3" xfId="13048" xr:uid="{99A6F8E1-EE21-48B2-B5DD-E15D3129F387}"/>
    <cellStyle name="40% - Accent6 3 2 4 3" xfId="5838" xr:uid="{00000000-0005-0000-0000-00003F070000}"/>
    <cellStyle name="40% - Accent6 3 2 4 3 2" xfId="15120" xr:uid="{E6C589A2-A725-4A69-8504-27222D9B6F79}"/>
    <cellStyle name="40% - Accent6 3 2 4 4" xfId="10903" xr:uid="{FF319B1B-212E-402A-B23E-2FB6D68F5303}"/>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678" xr:uid="{05047F95-0A28-46F5-9879-9EAC4BB94780}"/>
    <cellStyle name="40% - Accent6 3 2 5 2 3" xfId="13461" xr:uid="{7113F0F4-1B97-48D3-98BF-5226F8E2D621}"/>
    <cellStyle name="40% - Accent6 3 2 5 3" xfId="6251" xr:uid="{00000000-0005-0000-0000-000043070000}"/>
    <cellStyle name="40% - Accent6 3 2 5 3 2" xfId="15533" xr:uid="{E29A8907-FDB0-4063-AFBC-EC1D49CDFA73}"/>
    <cellStyle name="40% - Accent6 3 2 5 4" xfId="11316" xr:uid="{3FB504BF-1BD4-432F-B6CC-CDF01C336F3B}"/>
    <cellStyle name="40% - Accent6 3 2 6" xfId="2358" xr:uid="{00000000-0005-0000-0000-000044070000}"/>
    <cellStyle name="40% - Accent6 3 2 6 2" xfId="6664" xr:uid="{00000000-0005-0000-0000-000045070000}"/>
    <cellStyle name="40% - Accent6 3 2 6 2 2" xfId="15946" xr:uid="{678085F3-B3FC-451C-B304-885759245E5E}"/>
    <cellStyle name="40% - Accent6 3 2 6 3" xfId="11729" xr:uid="{47AB9EE9-45CD-4834-9282-DF60F87B578F}"/>
    <cellStyle name="40% - Accent6 3 2 7" xfId="4598" xr:uid="{00000000-0005-0000-0000-000046070000}"/>
    <cellStyle name="40% - Accent6 3 2 7 2" xfId="13880" xr:uid="{1C8A3499-EE2D-4D87-8688-CF5E00D8C8F0}"/>
    <cellStyle name="40% - Accent6 3 2 8" xfId="9663" xr:uid="{84CE30AF-FCEC-4E57-A845-C85517F57E33}"/>
    <cellStyle name="40% - Accent6 3 2 9" xfId="8830" xr:uid="{EFCE05DB-A07C-4EF9-A0D9-D487AAFD6552}"/>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38" xr:uid="{27555A65-9223-4612-BA74-80F7FA5E8A3E}"/>
    <cellStyle name="40% - Accent6 3 3 2 3" xfId="12221" xr:uid="{4733B668-5F51-4A78-BED9-5B195583F1E2}"/>
    <cellStyle name="40% - Accent6 3 3 3" xfId="5011" xr:uid="{00000000-0005-0000-0000-00004A070000}"/>
    <cellStyle name="40% - Accent6 3 3 3 2" xfId="14293" xr:uid="{EAF857A8-BE2B-4E61-AC82-7F4A51A995A5}"/>
    <cellStyle name="40% - Accent6 3 3 4" xfId="10076" xr:uid="{63907251-704F-4482-AC85-C82E9C664AE6}"/>
    <cellStyle name="40% - Accent6 3 3 5" xfId="9246" xr:uid="{09CB0E9F-0D67-4CC3-A795-76001415E1B1}"/>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51" xr:uid="{84DD898D-E3FF-4336-93FE-9F27B76541DF}"/>
    <cellStyle name="40% - Accent6 3 4 2 3" xfId="12634" xr:uid="{9AD69E89-9204-43DB-882E-84F2217DBE42}"/>
    <cellStyle name="40% - Accent6 3 4 3" xfId="5424" xr:uid="{00000000-0005-0000-0000-00004E070000}"/>
    <cellStyle name="40% - Accent6 3 4 3 2" xfId="14706" xr:uid="{9FAD268D-9D17-4BC2-BBB4-7EB24060EFE4}"/>
    <cellStyle name="40% - Accent6 3 4 4" xfId="10489" xr:uid="{991D3D7E-C100-4B9B-855B-681C2C29A57B}"/>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264" xr:uid="{6FB42F7E-C84A-4A63-9AA9-7C9BC901D275}"/>
    <cellStyle name="40% - Accent6 3 5 2 3" xfId="13047" xr:uid="{757437D8-5244-4872-ACAB-662AA3FFD8C2}"/>
    <cellStyle name="40% - Accent6 3 5 3" xfId="5837" xr:uid="{00000000-0005-0000-0000-000052070000}"/>
    <cellStyle name="40% - Accent6 3 5 3 2" xfId="15119" xr:uid="{33E3CF75-EF92-4841-B836-33B230638D88}"/>
    <cellStyle name="40% - Accent6 3 5 4" xfId="10902" xr:uid="{86D6FEFA-5877-411B-A790-358C9C5188B2}"/>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677" xr:uid="{2A6C1735-784F-4833-9895-83393B47B1A2}"/>
    <cellStyle name="40% - Accent6 3 6 2 3" xfId="13460" xr:uid="{54C63B12-2B9E-40EF-9E99-1041415457CC}"/>
    <cellStyle name="40% - Accent6 3 6 3" xfId="6250" xr:uid="{00000000-0005-0000-0000-000056070000}"/>
    <cellStyle name="40% - Accent6 3 6 3 2" xfId="15532" xr:uid="{D7F02400-3BA8-4392-B61A-C8300ABF6151}"/>
    <cellStyle name="40% - Accent6 3 6 4" xfId="11315" xr:uid="{0A75A249-1079-42D6-9788-A5EBB030C883}"/>
    <cellStyle name="40% - Accent6 3 7" xfId="2357" xr:uid="{00000000-0005-0000-0000-000057070000}"/>
    <cellStyle name="40% - Accent6 3 7 2" xfId="6663" xr:uid="{00000000-0005-0000-0000-000058070000}"/>
    <cellStyle name="40% - Accent6 3 7 2 2" xfId="15945" xr:uid="{DC1FA5B7-812C-45F4-B462-7295E7B25D25}"/>
    <cellStyle name="40% - Accent6 3 7 3" xfId="11728" xr:uid="{98C79DBF-A5DE-4E71-A2E9-17FFF9747D42}"/>
    <cellStyle name="40% - Accent6 3 8" xfId="4597" xr:uid="{00000000-0005-0000-0000-000059070000}"/>
    <cellStyle name="40% - Accent6 3 8 2" xfId="13879" xr:uid="{D8B98493-D660-42A3-AB2A-103FB32B28B3}"/>
    <cellStyle name="40% - Accent6 3 9" xfId="9662" xr:uid="{F8C99173-3076-4196-81C6-04D5C997ABE1}"/>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40" xr:uid="{AEA07802-80E4-4654-BA2B-0342B6C55A5E}"/>
    <cellStyle name="40% - Accent6 4 2 2 3" xfId="12223" xr:uid="{6B8A846C-D504-4C90-B572-FAD2309243CC}"/>
    <cellStyle name="40% - Accent6 4 2 3" xfId="5013" xr:uid="{00000000-0005-0000-0000-00005E070000}"/>
    <cellStyle name="40% - Accent6 4 2 3 2" xfId="14295" xr:uid="{7A957D7F-1363-4E33-BA3F-5F28AE888C4B}"/>
    <cellStyle name="40% - Accent6 4 2 4" xfId="10078" xr:uid="{0D93B56A-B366-421B-BA17-09CD11CF43D5}"/>
    <cellStyle name="40% - Accent6 4 2 5" xfId="9248" xr:uid="{1D9FE27A-1AC1-4B66-839A-3AB1462722A1}"/>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53" xr:uid="{C958E84C-D1EC-4188-AA01-CADE1464935B}"/>
    <cellStyle name="40% - Accent6 4 3 2 3" xfId="12636" xr:uid="{4459A9A7-9456-47BE-B55B-AA270AA2B5B1}"/>
    <cellStyle name="40% - Accent6 4 3 3" xfId="5426" xr:uid="{00000000-0005-0000-0000-000062070000}"/>
    <cellStyle name="40% - Accent6 4 3 3 2" xfId="14708" xr:uid="{D8985E6E-4D5B-46B2-973E-F9F100888187}"/>
    <cellStyle name="40% - Accent6 4 3 4" xfId="10491" xr:uid="{A5E2E186-1DAE-4D4B-9AF0-F28982AF38BF}"/>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266" xr:uid="{CE5915E8-D31C-417F-9D88-76B1FABA74A5}"/>
    <cellStyle name="40% - Accent6 4 4 2 3" xfId="13049" xr:uid="{CFD37C19-6A2B-4C79-8CC4-BA4903F721E3}"/>
    <cellStyle name="40% - Accent6 4 4 3" xfId="5839" xr:uid="{00000000-0005-0000-0000-000066070000}"/>
    <cellStyle name="40% - Accent6 4 4 3 2" xfId="15121" xr:uid="{04311D72-618E-4218-A7B5-C492F7B3B912}"/>
    <cellStyle name="40% - Accent6 4 4 4" xfId="10904" xr:uid="{8BA06F75-ED70-4316-A3FC-0BF2D2572C77}"/>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679" xr:uid="{A1A86FF1-447C-4A7A-ADC3-250E81D69446}"/>
    <cellStyle name="40% - Accent6 4 5 2 3" xfId="13462" xr:uid="{055FFBA4-2BF1-49A6-9C54-E7ED4F97341A}"/>
    <cellStyle name="40% - Accent6 4 5 3" xfId="6252" xr:uid="{00000000-0005-0000-0000-00006A070000}"/>
    <cellStyle name="40% - Accent6 4 5 3 2" xfId="15534" xr:uid="{B54337AC-D611-46D9-89A7-D27E9A922264}"/>
    <cellStyle name="40% - Accent6 4 5 4" xfId="11317" xr:uid="{DEE07220-B44C-497D-A08B-9365EDF70C01}"/>
    <cellStyle name="40% - Accent6 4 6" xfId="2359" xr:uid="{00000000-0005-0000-0000-00006B070000}"/>
    <cellStyle name="40% - Accent6 4 6 2" xfId="6665" xr:uid="{00000000-0005-0000-0000-00006C070000}"/>
    <cellStyle name="40% - Accent6 4 6 2 2" xfId="15947" xr:uid="{3B526660-D8BE-4C78-9915-B40CE991B402}"/>
    <cellStyle name="40% - Accent6 4 6 3" xfId="11730" xr:uid="{73E4144A-68B6-415C-B843-C43F042DD5CF}"/>
    <cellStyle name="40% - Accent6 4 7" xfId="4599" xr:uid="{00000000-0005-0000-0000-00006D070000}"/>
    <cellStyle name="40% - Accent6 4 7 2" xfId="13881" xr:uid="{8631CB35-9301-4DDB-BDD3-D6D064928382}"/>
    <cellStyle name="40% - Accent6 4 8" xfId="9664" xr:uid="{58EBEAE5-5A97-49B8-B91A-3D78928E125B}"/>
    <cellStyle name="40% - Accent6 4 9" xfId="8831" xr:uid="{6264E29E-99BA-4596-8202-0DACD7A85C40}"/>
    <cellStyle name="40% - Accent6 5" xfId="658" xr:uid="{00000000-0005-0000-0000-00006E070000}"/>
    <cellStyle name="40% - Accent6 5 2" xfId="2929" xr:uid="{00000000-0005-0000-0000-00006F070000}"/>
    <cellStyle name="40% - Accent6 5 2 2" xfId="7151" xr:uid="{00000000-0005-0000-0000-000070070000}"/>
    <cellStyle name="40% - Accent6 5 2 2 2" xfId="16433" xr:uid="{7A4EDB5E-C4D3-429F-A852-65973B45126F}"/>
    <cellStyle name="40% - Accent6 5 2 3" xfId="12216" xr:uid="{B923EE09-FBF8-4FA2-A460-D32539596858}"/>
    <cellStyle name="40% - Accent6 5 3" xfId="5006" xr:uid="{00000000-0005-0000-0000-000071070000}"/>
    <cellStyle name="40% - Accent6 5 3 2" xfId="14288" xr:uid="{A56CD376-F232-4C57-94AA-C7A5C37968FC}"/>
    <cellStyle name="40% - Accent6 5 4" xfId="10071" xr:uid="{575FD818-07FD-498F-9FF0-C5454ECB17B5}"/>
    <cellStyle name="40% - Accent6 5 5" xfId="9241" xr:uid="{EA9C5E14-C155-49CF-B4F2-DEDE347C04A3}"/>
    <cellStyle name="40% - Accent6 6" xfId="1111" xr:uid="{00000000-0005-0000-0000-000072070000}"/>
    <cellStyle name="40% - Accent6 6 2" xfId="3342" xr:uid="{00000000-0005-0000-0000-000073070000}"/>
    <cellStyle name="40% - Accent6 6 2 2" xfId="7564" xr:uid="{00000000-0005-0000-0000-000074070000}"/>
    <cellStyle name="40% - Accent6 6 2 2 2" xfId="16846" xr:uid="{F929A524-1BA4-4691-B0C8-38F06461EA22}"/>
    <cellStyle name="40% - Accent6 6 2 3" xfId="12629" xr:uid="{497D0D85-7EE9-42CC-9825-140DB48633B1}"/>
    <cellStyle name="40% - Accent6 6 3" xfId="5419" xr:uid="{00000000-0005-0000-0000-000075070000}"/>
    <cellStyle name="40% - Accent6 6 3 2" xfId="14701" xr:uid="{9814064A-D89D-4EFC-9C32-9C686F3A097D}"/>
    <cellStyle name="40% - Accent6 6 4" xfId="10484" xr:uid="{0246AD0E-BC80-4C29-8254-893AB6F64E8D}"/>
    <cellStyle name="40% - Accent6 7" xfId="1525" xr:uid="{00000000-0005-0000-0000-000076070000}"/>
    <cellStyle name="40% - Accent6 7 2" xfId="3755" xr:uid="{00000000-0005-0000-0000-000077070000}"/>
    <cellStyle name="40% - Accent6 7 2 2" xfId="7977" xr:uid="{00000000-0005-0000-0000-000078070000}"/>
    <cellStyle name="40% - Accent6 7 2 2 2" xfId="17259" xr:uid="{D645928D-A7C9-4B09-9076-B7B5ACA3081D}"/>
    <cellStyle name="40% - Accent6 7 2 3" xfId="13042" xr:uid="{CA71CA75-4D35-44A4-A18E-972D9615E197}"/>
    <cellStyle name="40% - Accent6 7 3" xfId="5832" xr:uid="{00000000-0005-0000-0000-000079070000}"/>
    <cellStyle name="40% - Accent6 7 3 2" xfId="15114" xr:uid="{5BB0B81F-1FB3-4A73-A2BF-C1E4AB25016C}"/>
    <cellStyle name="40% - Accent6 7 4" xfId="10897" xr:uid="{425B7BF0-B6E2-4F9E-9227-D7C4C35CAE95}"/>
    <cellStyle name="40% - Accent6 8" xfId="1939" xr:uid="{00000000-0005-0000-0000-00007A070000}"/>
    <cellStyle name="40% - Accent6 8 2" xfId="4168" xr:uid="{00000000-0005-0000-0000-00007B070000}"/>
    <cellStyle name="40% - Accent6 8 2 2" xfId="8390" xr:uid="{00000000-0005-0000-0000-00007C070000}"/>
    <cellStyle name="40% - Accent6 8 2 2 2" xfId="17672" xr:uid="{80593F41-F49C-4F9E-814B-F74555ED813B}"/>
    <cellStyle name="40% - Accent6 8 2 3" xfId="13455" xr:uid="{E9348346-37BB-47FF-9193-FD005DE3E016}"/>
    <cellStyle name="40% - Accent6 8 3" xfId="6245" xr:uid="{00000000-0005-0000-0000-00007D070000}"/>
    <cellStyle name="40% - Accent6 8 3 2" xfId="15527" xr:uid="{34CE3319-0ECF-4609-818E-BC9958263AA3}"/>
    <cellStyle name="40% - Accent6 8 4" xfId="11310" xr:uid="{56CD0D37-A86F-4894-BC2D-ABB7F7B21DF6}"/>
    <cellStyle name="40% - Accent6 9" xfId="2352" xr:uid="{00000000-0005-0000-0000-00007E070000}"/>
    <cellStyle name="40% - Accent6 9 2" xfId="6658" xr:uid="{00000000-0005-0000-0000-00007F070000}"/>
    <cellStyle name="40% - Accent6 9 2 2" xfId="15940" xr:uid="{CA536D24-21CD-4A8C-86D2-059634912791}"/>
    <cellStyle name="40% - Accent6 9 3" xfId="11723" xr:uid="{81889D9B-A1A9-4556-A4ED-396285445EE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265" xr:uid="{D5209E66-8679-4487-9127-A848F6EF64E5}"/>
    <cellStyle name="Comma 4 2 2 2 10 3" xfId="12048" xr:uid="{16AD2E44-00BC-4423-A151-54439CD971E6}"/>
    <cellStyle name="Comma 4 2 2 2 11" xfId="4600" xr:uid="{00000000-0005-0000-0000-0000A3070000}"/>
    <cellStyle name="Comma 4 2 2 2 11 2" xfId="13882" xr:uid="{66C44651-6251-46BC-A0E5-ED008170DD91}"/>
    <cellStyle name="Comma 4 2 2 2 12" xfId="9665" xr:uid="{801A1BB0-74E0-408B-AFDC-50B19B326DE7}"/>
    <cellStyle name="Comma 4 2 2 2 13" xfId="8832" xr:uid="{BB823A75-F26C-4BB0-A144-730D7A509A35}"/>
    <cellStyle name="Comma 4 2 2 2 2" xfId="129" xr:uid="{00000000-0005-0000-0000-0000A4070000}"/>
    <cellStyle name="Comma 4 2 2 2 2 10" xfId="4601" xr:uid="{00000000-0005-0000-0000-0000A5070000}"/>
    <cellStyle name="Comma 4 2 2 2 2 10 2" xfId="13883" xr:uid="{B44C0532-6265-40D7-A829-91AE28D8FC6B}"/>
    <cellStyle name="Comma 4 2 2 2 2 11" xfId="9666" xr:uid="{0997D497-917C-4B2C-B1A2-3C7534CE7CE5}"/>
    <cellStyle name="Comma 4 2 2 2 2 12" xfId="8833" xr:uid="{15ED3031-7A89-48BB-BB57-198237B62223}"/>
    <cellStyle name="Comma 4 2 2 2 2 2" xfId="130" xr:uid="{00000000-0005-0000-0000-0000A6070000}"/>
    <cellStyle name="Comma 4 2 2 2 2 2 10" xfId="9667" xr:uid="{1815290C-A9D8-44BD-B80A-35E1FF373F6E}"/>
    <cellStyle name="Comma 4 2 2 2 2 2 11" xfId="8834" xr:uid="{FCEBE367-D753-44EE-B82D-E3B614FCFA7E}"/>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43" xr:uid="{30D3857C-7658-4898-9CD8-01452A44EEAC}"/>
    <cellStyle name="Comma 4 2 2 2 2 2 2 2 3" xfId="12226" xr:uid="{85EE8929-60FB-455E-A569-926C4C5F2265}"/>
    <cellStyle name="Comma 4 2 2 2 2 2 2 3" xfId="5016" xr:uid="{00000000-0005-0000-0000-0000AA070000}"/>
    <cellStyle name="Comma 4 2 2 2 2 2 2 3 2" xfId="14298" xr:uid="{0F01C5C5-84DF-40B7-983C-53D4C80B9E2F}"/>
    <cellStyle name="Comma 4 2 2 2 2 2 2 4" xfId="10081" xr:uid="{EB8B7120-3CCF-429F-A41E-EE27383D73F7}"/>
    <cellStyle name="Comma 4 2 2 2 2 2 2 5" xfId="9251" xr:uid="{1ADE798E-F2C2-4924-BA97-B15B06D80A55}"/>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856" xr:uid="{A1F524B6-714F-4918-B7C6-1EAE9437E2B7}"/>
    <cellStyle name="Comma 4 2 2 2 2 2 3 2 3" xfId="12639" xr:uid="{9799760D-0D6B-44A5-97BF-A1BF3BDA4E72}"/>
    <cellStyle name="Comma 4 2 2 2 2 2 3 3" xfId="5429" xr:uid="{00000000-0005-0000-0000-0000AE070000}"/>
    <cellStyle name="Comma 4 2 2 2 2 2 3 3 2" xfId="14711" xr:uid="{E3E33DA5-50D2-49AE-B0B3-CB7ED6E8BAA0}"/>
    <cellStyle name="Comma 4 2 2 2 2 2 3 4" xfId="10494" xr:uid="{F51B21A4-2FCD-4B2F-A888-FEE2C2BA2245}"/>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269" xr:uid="{0323D3DA-87B2-4DD2-A378-E7BDD0D1F50F}"/>
    <cellStyle name="Comma 4 2 2 2 2 2 4 2 3" xfId="13052" xr:uid="{2D7D47B1-6F60-4262-AFFB-3D84A6A07233}"/>
    <cellStyle name="Comma 4 2 2 2 2 2 4 3" xfId="5842" xr:uid="{00000000-0005-0000-0000-0000B2070000}"/>
    <cellStyle name="Comma 4 2 2 2 2 2 4 3 2" xfId="15124" xr:uid="{DBAF0400-CE3B-4A83-8683-9216E6485A9A}"/>
    <cellStyle name="Comma 4 2 2 2 2 2 4 4" xfId="10907" xr:uid="{AD265D60-3245-45BF-A41F-968E7E93F69D}"/>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682" xr:uid="{B7E52B0A-CBF1-4E91-94CD-8AD6E3C91098}"/>
    <cellStyle name="Comma 4 2 2 2 2 2 5 2 3" xfId="13465" xr:uid="{802CDDFD-8A4A-4BBD-B1D7-34527B261DEA}"/>
    <cellStyle name="Comma 4 2 2 2 2 2 5 3" xfId="6255" xr:uid="{00000000-0005-0000-0000-0000B6070000}"/>
    <cellStyle name="Comma 4 2 2 2 2 2 5 3 2" xfId="15537" xr:uid="{5D06B5C2-F05F-4E34-A2ED-4A64D09DBDFD}"/>
    <cellStyle name="Comma 4 2 2 2 2 2 5 4" xfId="11320" xr:uid="{9149C86E-9B01-46ED-8CA6-2A98AE5B8539}"/>
    <cellStyle name="Comma 4 2 2 2 2 2 6" xfId="2384" xr:uid="{00000000-0005-0000-0000-0000B7070000}"/>
    <cellStyle name="Comma 4 2 2 2 2 2 6 2" xfId="6668" xr:uid="{00000000-0005-0000-0000-0000B8070000}"/>
    <cellStyle name="Comma 4 2 2 2 2 2 6 2 2" xfId="15950" xr:uid="{0013A331-58C1-42EA-9AC4-520BDAB50341}"/>
    <cellStyle name="Comma 4 2 2 2 2 2 6 3" xfId="11733" xr:uid="{842EAEA7-C2F7-4EC0-89AA-3571C39AE0F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267" xr:uid="{32F6C5F2-7F4A-455B-AC97-71AB381D1286}"/>
    <cellStyle name="Comma 4 2 2 2 2 2 8 3" xfId="12050" xr:uid="{753272AA-9ED4-49F9-85E8-D2A063D1D578}"/>
    <cellStyle name="Comma 4 2 2 2 2 2 9" xfId="4602" xr:uid="{00000000-0005-0000-0000-0000BC070000}"/>
    <cellStyle name="Comma 4 2 2 2 2 2 9 2" xfId="13884" xr:uid="{EC5807E2-8FF9-451C-8D24-C526DE6A844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42" xr:uid="{469360FB-089A-40AC-A9C1-337056A0E403}"/>
    <cellStyle name="Comma 4 2 2 2 2 3 2 3" xfId="12225" xr:uid="{89DF34FE-8B06-4CC9-A12F-968A45AD1ECA}"/>
    <cellStyle name="Comma 4 2 2 2 2 3 3" xfId="5015" xr:uid="{00000000-0005-0000-0000-0000C0070000}"/>
    <cellStyle name="Comma 4 2 2 2 2 3 3 2" xfId="14297" xr:uid="{513AE050-6304-4776-8CCF-7B67B6697E66}"/>
    <cellStyle name="Comma 4 2 2 2 2 3 4" xfId="10080" xr:uid="{D1A78CF6-5C12-47B0-9D51-9C46ADB5947B}"/>
    <cellStyle name="Comma 4 2 2 2 2 3 5" xfId="9250" xr:uid="{E8B958A8-AB2B-48E7-AD68-FB653D4279F8}"/>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55" xr:uid="{4F461D28-467B-4D10-922C-5851962557D5}"/>
    <cellStyle name="Comma 4 2 2 2 2 4 2 3" xfId="12638" xr:uid="{8253A353-0FF6-4EA6-B0F2-4A3617602CC4}"/>
    <cellStyle name="Comma 4 2 2 2 2 4 3" xfId="5428" xr:uid="{00000000-0005-0000-0000-0000C4070000}"/>
    <cellStyle name="Comma 4 2 2 2 2 4 3 2" xfId="14710" xr:uid="{8A700BF5-874B-42E1-880B-84C079887C2E}"/>
    <cellStyle name="Comma 4 2 2 2 2 4 4" xfId="10493" xr:uid="{78A2FC7C-E373-46B3-9D63-395BDECD503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268" xr:uid="{C8E7A29A-38E3-4AA6-90EC-920CD78DA83A}"/>
    <cellStyle name="Comma 4 2 2 2 2 5 2 3" xfId="13051" xr:uid="{DB9CFF21-2472-4BCF-8411-1E6B78CBFEF5}"/>
    <cellStyle name="Comma 4 2 2 2 2 5 3" xfId="5841" xr:uid="{00000000-0005-0000-0000-0000C8070000}"/>
    <cellStyle name="Comma 4 2 2 2 2 5 3 2" xfId="15123" xr:uid="{58B7D082-D8B1-4BD3-82DD-DBC6576F77BA}"/>
    <cellStyle name="Comma 4 2 2 2 2 5 4" xfId="10906" xr:uid="{2F52E3B5-63B8-4DB6-B77F-4444A598A918}"/>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681" xr:uid="{D713171F-32E5-4843-B0F8-CBCA341248F7}"/>
    <cellStyle name="Comma 4 2 2 2 2 6 2 3" xfId="13464" xr:uid="{8A557BF0-AFCA-4318-BA94-622C8A952C50}"/>
    <cellStyle name="Comma 4 2 2 2 2 6 3" xfId="6254" xr:uid="{00000000-0005-0000-0000-0000CC070000}"/>
    <cellStyle name="Comma 4 2 2 2 2 6 3 2" xfId="15536" xr:uid="{9BDB8B41-8EFB-43D7-905C-F3D3C8197D6B}"/>
    <cellStyle name="Comma 4 2 2 2 2 6 4" xfId="11319" xr:uid="{157EFFBB-72A2-47E9-AF33-BA4D5A7A1DB7}"/>
    <cellStyle name="Comma 4 2 2 2 2 7" xfId="2383" xr:uid="{00000000-0005-0000-0000-0000CD070000}"/>
    <cellStyle name="Comma 4 2 2 2 2 7 2" xfId="6667" xr:uid="{00000000-0005-0000-0000-0000CE070000}"/>
    <cellStyle name="Comma 4 2 2 2 2 7 2 2" xfId="15949" xr:uid="{AC28BBBD-2080-4C31-A8A2-0C1011CAA357}"/>
    <cellStyle name="Comma 4 2 2 2 2 7 3" xfId="11732" xr:uid="{7F6EEC9B-8753-4EFD-8C0F-3B44BA9994E7}"/>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266" xr:uid="{935B56E5-380E-459B-9860-1AFB60CDB1A1}"/>
    <cellStyle name="Comma 4 2 2 2 2 9 3" xfId="12049" xr:uid="{0CE8CC45-D033-45E1-89C5-864F12A90521}"/>
    <cellStyle name="Comma 4 2 2 2 3" xfId="131" xr:uid="{00000000-0005-0000-0000-0000D2070000}"/>
    <cellStyle name="Comma 4 2 2 2 3 10" xfId="9668" xr:uid="{F6C28325-D9B1-407A-BBA8-7320B569A65E}"/>
    <cellStyle name="Comma 4 2 2 2 3 11" xfId="8835" xr:uid="{14B30E45-466C-424E-86EE-2639F42E001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44" xr:uid="{C4F1E082-1890-4B95-B431-7D079AEBCC9D}"/>
    <cellStyle name="Comma 4 2 2 2 3 2 2 3" xfId="12227" xr:uid="{18F09DEB-F883-48C8-ACBA-186FD4A74A10}"/>
    <cellStyle name="Comma 4 2 2 2 3 2 3" xfId="5017" xr:uid="{00000000-0005-0000-0000-0000D6070000}"/>
    <cellStyle name="Comma 4 2 2 2 3 2 3 2" xfId="14299" xr:uid="{9E4144F0-CC2B-4C3B-A2C5-FF2B40A0AD3B}"/>
    <cellStyle name="Comma 4 2 2 2 3 2 4" xfId="10082" xr:uid="{A5C9B793-682A-4B66-BE73-A7D60B62E140}"/>
    <cellStyle name="Comma 4 2 2 2 3 2 5" xfId="9252" xr:uid="{2C086DC1-22F3-44D7-9A04-9F2E5644338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857" xr:uid="{FCF6DCA7-16CD-4259-9F8D-C1C853598D1A}"/>
    <cellStyle name="Comma 4 2 2 2 3 3 2 3" xfId="12640" xr:uid="{AEBC4339-570C-46F3-BA94-DE30C36FA0A4}"/>
    <cellStyle name="Comma 4 2 2 2 3 3 3" xfId="5430" xr:uid="{00000000-0005-0000-0000-0000DA070000}"/>
    <cellStyle name="Comma 4 2 2 2 3 3 3 2" xfId="14712" xr:uid="{F19675BA-94C2-4C73-A0EF-F9B8DDA0460E}"/>
    <cellStyle name="Comma 4 2 2 2 3 3 4" xfId="10495" xr:uid="{E91281B2-0EDD-4CCB-BAA8-FDC600FC6A81}"/>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270" xr:uid="{95FC327B-42F8-4660-B6F2-8C8CB5D520BE}"/>
    <cellStyle name="Comma 4 2 2 2 3 4 2 3" xfId="13053" xr:uid="{FF074766-17AA-4ADE-AB5A-5E949B3AC39B}"/>
    <cellStyle name="Comma 4 2 2 2 3 4 3" xfId="5843" xr:uid="{00000000-0005-0000-0000-0000DE070000}"/>
    <cellStyle name="Comma 4 2 2 2 3 4 3 2" xfId="15125" xr:uid="{D370113F-836C-4276-9695-5644F2B940B8}"/>
    <cellStyle name="Comma 4 2 2 2 3 4 4" xfId="10908" xr:uid="{9A875CFC-D9A3-4D9C-A559-BBEE93E4C2AF}"/>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683" xr:uid="{771D2CA6-440F-4ACA-A211-917D8AAEF9D3}"/>
    <cellStyle name="Comma 4 2 2 2 3 5 2 3" xfId="13466" xr:uid="{A88A0CEF-F348-49EF-B0CB-C2EDE0B34205}"/>
    <cellStyle name="Comma 4 2 2 2 3 5 3" xfId="6256" xr:uid="{00000000-0005-0000-0000-0000E2070000}"/>
    <cellStyle name="Comma 4 2 2 2 3 5 3 2" xfId="15538" xr:uid="{D911E9C1-0993-408B-94CF-F717A18382DF}"/>
    <cellStyle name="Comma 4 2 2 2 3 5 4" xfId="11321" xr:uid="{84D046B3-92B5-4A80-BFE5-A4600AE5CD81}"/>
    <cellStyle name="Comma 4 2 2 2 3 6" xfId="2385" xr:uid="{00000000-0005-0000-0000-0000E3070000}"/>
    <cellStyle name="Comma 4 2 2 2 3 6 2" xfId="6669" xr:uid="{00000000-0005-0000-0000-0000E4070000}"/>
    <cellStyle name="Comma 4 2 2 2 3 6 2 2" xfId="15951" xr:uid="{DB04CCF1-5888-45DC-A4EC-5A8BAD5A8317}"/>
    <cellStyle name="Comma 4 2 2 2 3 6 3" xfId="11734" xr:uid="{F26ED6AD-4DF4-4A3E-90E0-62492B34395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268" xr:uid="{0EC2F4FD-FFFD-40BB-83F5-C64294366C01}"/>
    <cellStyle name="Comma 4 2 2 2 3 8 3" xfId="12051" xr:uid="{429CE8CC-0039-4C6F-952B-50B136318755}"/>
    <cellStyle name="Comma 4 2 2 2 3 9" xfId="4603" xr:uid="{00000000-0005-0000-0000-0000E8070000}"/>
    <cellStyle name="Comma 4 2 2 2 3 9 2" xfId="13885" xr:uid="{2EB01B3B-6A3C-4803-AF9C-A5A8A07DE581}"/>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41" xr:uid="{786B059D-8710-4F9E-9BF8-96103537ACFA}"/>
    <cellStyle name="Comma 4 2 2 2 4 2 3" xfId="12224" xr:uid="{2CFBE6E4-C50D-4174-8299-15EE8F53570B}"/>
    <cellStyle name="Comma 4 2 2 2 4 3" xfId="5014" xr:uid="{00000000-0005-0000-0000-0000EC070000}"/>
    <cellStyle name="Comma 4 2 2 2 4 3 2" xfId="14296" xr:uid="{8ED7773C-7CD1-4245-B07C-ED33C487909C}"/>
    <cellStyle name="Comma 4 2 2 2 4 4" xfId="10079" xr:uid="{25E15CDD-4A00-468F-886B-2B90291E9DC9}"/>
    <cellStyle name="Comma 4 2 2 2 4 5" xfId="9249" xr:uid="{A1D971D1-3D8D-49D8-ABCC-77D4A7F5C41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54" xr:uid="{1E1BCCDF-685C-49B1-B90C-BC4EC17BBD13}"/>
    <cellStyle name="Comma 4 2 2 2 5 2 3" xfId="12637" xr:uid="{20556BE3-230F-40D7-A1BA-E6D2343CE0B6}"/>
    <cellStyle name="Comma 4 2 2 2 5 3" xfId="5427" xr:uid="{00000000-0005-0000-0000-0000F0070000}"/>
    <cellStyle name="Comma 4 2 2 2 5 3 2" xfId="14709" xr:uid="{7A670C4E-53CE-419F-9D94-25ABE63FFA1F}"/>
    <cellStyle name="Comma 4 2 2 2 5 4" xfId="10492" xr:uid="{020E5A4A-E235-47BB-AD92-E786FFA199BF}"/>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267" xr:uid="{46777E35-3CB0-4E6C-BD84-C9B2461800F2}"/>
    <cellStyle name="Comma 4 2 2 2 6 2 3" xfId="13050" xr:uid="{333F585C-9B60-4E48-9D3F-6F2D9E234A44}"/>
    <cellStyle name="Comma 4 2 2 2 6 3" xfId="5840" xr:uid="{00000000-0005-0000-0000-0000F4070000}"/>
    <cellStyle name="Comma 4 2 2 2 6 3 2" xfId="15122" xr:uid="{C6DC9EDB-0359-4FE6-9EA8-390005EC4DDA}"/>
    <cellStyle name="Comma 4 2 2 2 6 4" xfId="10905" xr:uid="{C5671301-D6C5-4F45-9C8A-2EDA5A298E58}"/>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680" xr:uid="{CF39AACF-8016-4A91-BD03-398AA4E1F6F8}"/>
    <cellStyle name="Comma 4 2 2 2 7 2 3" xfId="13463" xr:uid="{6DC32221-C6CB-4052-945A-A9B0248F53CA}"/>
    <cellStyle name="Comma 4 2 2 2 7 3" xfId="6253" xr:uid="{00000000-0005-0000-0000-0000F8070000}"/>
    <cellStyle name="Comma 4 2 2 2 7 3 2" xfId="15535" xr:uid="{29393266-E0F0-4353-A532-635F9A01A470}"/>
    <cellStyle name="Comma 4 2 2 2 7 4" xfId="11318" xr:uid="{3ECD6BBA-173F-4E44-864B-D11B2FDE789D}"/>
    <cellStyle name="Comma 4 2 2 2 8" xfId="2382" xr:uid="{00000000-0005-0000-0000-0000F9070000}"/>
    <cellStyle name="Comma 4 2 2 2 8 2" xfId="6666" xr:uid="{00000000-0005-0000-0000-0000FA070000}"/>
    <cellStyle name="Comma 4 2 2 2 8 2 2" xfId="15948" xr:uid="{B1FD6119-E140-44B9-BEC2-EA6DD0F97D7B}"/>
    <cellStyle name="Comma 4 2 2 2 8 3" xfId="11731" xr:uid="{B3DFFFA9-61AF-4272-8B2B-BB3905666EC1}"/>
    <cellStyle name="Comma 4 2 2 2 9" xfId="2381" xr:uid="{00000000-0005-0000-0000-0000FB070000}"/>
    <cellStyle name="Comma 4 2 2 3" xfId="132" xr:uid="{00000000-0005-0000-0000-0000FC070000}"/>
    <cellStyle name="Comma 4 2 2 3 10" xfId="4604" xr:uid="{00000000-0005-0000-0000-0000FD070000}"/>
    <cellStyle name="Comma 4 2 2 3 10 2" xfId="13886" xr:uid="{FBFC3EFF-4205-456E-A0F9-16D6EBC181BC}"/>
    <cellStyle name="Comma 4 2 2 3 11" xfId="9669" xr:uid="{8478CEF8-FF26-4B56-A6C0-FD5304495BDC}"/>
    <cellStyle name="Comma 4 2 2 3 12" xfId="8836" xr:uid="{C7364B87-DC08-4126-93F7-074DE768D698}"/>
    <cellStyle name="Comma 4 2 2 3 2" xfId="133" xr:uid="{00000000-0005-0000-0000-0000FE070000}"/>
    <cellStyle name="Comma 4 2 2 3 2 10" xfId="9670" xr:uid="{ABA127DB-6866-4763-8F2F-96D7F8C5829C}"/>
    <cellStyle name="Comma 4 2 2 3 2 11" xfId="8837" xr:uid="{B94933C4-C11C-4F39-9C78-6C359CBFD0B2}"/>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46" xr:uid="{7082D8E1-C6A3-4EBC-B3D3-69B22ECB51FD}"/>
    <cellStyle name="Comma 4 2 2 3 2 2 2 3" xfId="12229" xr:uid="{5CBD2BBB-EAB8-4112-A3BA-095A0706DC4A}"/>
    <cellStyle name="Comma 4 2 2 3 2 2 3" xfId="5019" xr:uid="{00000000-0005-0000-0000-000002080000}"/>
    <cellStyle name="Comma 4 2 2 3 2 2 3 2" xfId="14301" xr:uid="{DDB9D004-A916-41F4-99B7-16E8660936E4}"/>
    <cellStyle name="Comma 4 2 2 3 2 2 4" xfId="10084" xr:uid="{EC3D0484-D5F8-49CB-8557-4C92E0FC2E8C}"/>
    <cellStyle name="Comma 4 2 2 3 2 2 5" xfId="9254" xr:uid="{0C246672-5493-4AD1-8F0C-A099B32E48CE}"/>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859" xr:uid="{77B6A0E1-FD24-4314-AC3C-9DF58A3B56E2}"/>
    <cellStyle name="Comma 4 2 2 3 2 3 2 3" xfId="12642" xr:uid="{65527E4D-64EE-4D79-9FB9-323D1846460D}"/>
    <cellStyle name="Comma 4 2 2 3 2 3 3" xfId="5432" xr:uid="{00000000-0005-0000-0000-000006080000}"/>
    <cellStyle name="Comma 4 2 2 3 2 3 3 2" xfId="14714" xr:uid="{B7311E44-B19D-4843-A470-B7E1FE0D1FBF}"/>
    <cellStyle name="Comma 4 2 2 3 2 3 4" xfId="10497" xr:uid="{81F3679D-AF6F-4E6B-BB82-2F578BB5D95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272" xr:uid="{22AE64EC-4D12-425B-9A70-2B9FD3757D8F}"/>
    <cellStyle name="Comma 4 2 2 3 2 4 2 3" xfId="13055" xr:uid="{B26E67F6-E145-43BB-91A4-28A803FF2CFD}"/>
    <cellStyle name="Comma 4 2 2 3 2 4 3" xfId="5845" xr:uid="{00000000-0005-0000-0000-00000A080000}"/>
    <cellStyle name="Comma 4 2 2 3 2 4 3 2" xfId="15127" xr:uid="{1A384E9A-2E7E-40FD-AF3C-246F9387DB08}"/>
    <cellStyle name="Comma 4 2 2 3 2 4 4" xfId="10910" xr:uid="{D0EB9423-ECB1-4A8A-85B5-A5EB9ABA310E}"/>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685" xr:uid="{9B9A7CA1-3EB4-47AB-AF15-F5A63ED2BB74}"/>
    <cellStyle name="Comma 4 2 2 3 2 5 2 3" xfId="13468" xr:uid="{04B22DE2-95F5-4BF8-88DD-BD841EE392B8}"/>
    <cellStyle name="Comma 4 2 2 3 2 5 3" xfId="6258" xr:uid="{00000000-0005-0000-0000-00000E080000}"/>
    <cellStyle name="Comma 4 2 2 3 2 5 3 2" xfId="15540" xr:uid="{8525D4C4-F2D1-4B0B-90D6-F5F4D7304C46}"/>
    <cellStyle name="Comma 4 2 2 3 2 5 4" xfId="11323" xr:uid="{D84C19FC-D85F-48A2-8471-D355E99DC6F0}"/>
    <cellStyle name="Comma 4 2 2 3 2 6" xfId="2387" xr:uid="{00000000-0005-0000-0000-00000F080000}"/>
    <cellStyle name="Comma 4 2 2 3 2 6 2" xfId="6671" xr:uid="{00000000-0005-0000-0000-000010080000}"/>
    <cellStyle name="Comma 4 2 2 3 2 6 2 2" xfId="15953" xr:uid="{0FFB0C1E-3916-4CD1-9C22-348A184E6E5F}"/>
    <cellStyle name="Comma 4 2 2 3 2 6 3" xfId="11736" xr:uid="{A2EE936A-F819-4173-BAB8-C9BF78E9C1FB}"/>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270" xr:uid="{D94727D9-A5CC-4346-ACA2-5B268D8E60EE}"/>
    <cellStyle name="Comma 4 2 2 3 2 8 3" xfId="12053" xr:uid="{B7849C7F-1B05-4FB2-B9B0-43E2BF923A9A}"/>
    <cellStyle name="Comma 4 2 2 3 2 9" xfId="4605" xr:uid="{00000000-0005-0000-0000-000014080000}"/>
    <cellStyle name="Comma 4 2 2 3 2 9 2" xfId="13887" xr:uid="{F98972AF-FEC5-42E9-B0A3-5BD360797BF6}"/>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45" xr:uid="{A4CFC024-348E-4A6B-88FD-6C85925DB693}"/>
    <cellStyle name="Comma 4 2 2 3 3 2 3" xfId="12228" xr:uid="{151EB58E-6900-4284-96AF-38AB57A95AB6}"/>
    <cellStyle name="Comma 4 2 2 3 3 3" xfId="5018" xr:uid="{00000000-0005-0000-0000-000018080000}"/>
    <cellStyle name="Comma 4 2 2 3 3 3 2" xfId="14300" xr:uid="{A160EC03-18DF-4364-9099-5D125E5718F4}"/>
    <cellStyle name="Comma 4 2 2 3 3 4" xfId="10083" xr:uid="{73BC404D-ECF0-4952-8A24-208E7339B991}"/>
    <cellStyle name="Comma 4 2 2 3 3 5" xfId="9253" xr:uid="{0E0F85A5-B4B8-4D09-B566-FD421ACF58ED}"/>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858" xr:uid="{145D71A4-80DC-42FB-A01F-02376C182DB5}"/>
    <cellStyle name="Comma 4 2 2 3 4 2 3" xfId="12641" xr:uid="{E8630666-E0FE-4A32-A3EC-65443D702F01}"/>
    <cellStyle name="Comma 4 2 2 3 4 3" xfId="5431" xr:uid="{00000000-0005-0000-0000-00001C080000}"/>
    <cellStyle name="Comma 4 2 2 3 4 3 2" xfId="14713" xr:uid="{6920DF21-3F3A-4A59-823A-E53ACBC5F627}"/>
    <cellStyle name="Comma 4 2 2 3 4 4" xfId="10496" xr:uid="{8F4C205E-4A05-4429-96EE-F4F11BF5DA5F}"/>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271" xr:uid="{E1A4AE14-0CB8-4FCA-BA80-434E6A7FB8E7}"/>
    <cellStyle name="Comma 4 2 2 3 5 2 3" xfId="13054" xr:uid="{8A18C8E8-6D51-4CA7-9365-313FD0ABA7B0}"/>
    <cellStyle name="Comma 4 2 2 3 5 3" xfId="5844" xr:uid="{00000000-0005-0000-0000-000020080000}"/>
    <cellStyle name="Comma 4 2 2 3 5 3 2" xfId="15126" xr:uid="{3843B9AE-9518-4720-9B12-C8440D5CFBA8}"/>
    <cellStyle name="Comma 4 2 2 3 5 4" xfId="10909" xr:uid="{95625D10-2948-468F-95FB-C4AB5F666971}"/>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684" xr:uid="{AB32465B-174E-4BD1-AB30-489020E5F07D}"/>
    <cellStyle name="Comma 4 2 2 3 6 2 3" xfId="13467" xr:uid="{0007FA90-30A9-4E3A-B596-E6DEFB09B941}"/>
    <cellStyle name="Comma 4 2 2 3 6 3" xfId="6257" xr:uid="{00000000-0005-0000-0000-000024080000}"/>
    <cellStyle name="Comma 4 2 2 3 6 3 2" xfId="15539" xr:uid="{2DF02F5D-B06A-4BCB-A687-F196C310545C}"/>
    <cellStyle name="Comma 4 2 2 3 6 4" xfId="11322" xr:uid="{44A2462C-2622-48CF-9119-5BAA69C50B1C}"/>
    <cellStyle name="Comma 4 2 2 3 7" xfId="2386" xr:uid="{00000000-0005-0000-0000-000025080000}"/>
    <cellStyle name="Comma 4 2 2 3 7 2" xfId="6670" xr:uid="{00000000-0005-0000-0000-000026080000}"/>
    <cellStyle name="Comma 4 2 2 3 7 2 2" xfId="15952" xr:uid="{786D9573-DA82-43B1-85A6-2E3D227F60B1}"/>
    <cellStyle name="Comma 4 2 2 3 7 3" xfId="11735" xr:uid="{280749E7-CEA4-41F4-B053-DAFCDCB797B4}"/>
    <cellStyle name="Comma 4 2 2 3 8" xfId="2377" xr:uid="{00000000-0005-0000-0000-000027080000}"/>
    <cellStyle name="Comma 4 2 2 3 9" xfId="2764" xr:uid="{00000000-0005-0000-0000-000028080000}"/>
    <cellStyle name="Comma 4 2 2 3 9 2" xfId="6987" xr:uid="{00000000-0005-0000-0000-000029080000}"/>
    <cellStyle name="Comma 4 2 2 3 9 2 2" xfId="16269" xr:uid="{FA2B4E07-1A32-4045-A3BF-181E135490C8}"/>
    <cellStyle name="Comma 4 2 2 3 9 3" xfId="12052" xr:uid="{509613E2-D147-4755-9861-D08511985815}"/>
    <cellStyle name="Comma 4 2 2 4" xfId="134" xr:uid="{00000000-0005-0000-0000-00002A080000}"/>
    <cellStyle name="Comma 4 2 2 4 10" xfId="9671" xr:uid="{E670AB3A-52C2-4B81-8BFB-7C01117E8DE8}"/>
    <cellStyle name="Comma 4 2 2 4 11" xfId="8838" xr:uid="{3399A7D5-E97F-4506-BBE2-E1A4ACFAE291}"/>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47" xr:uid="{FFD8D08F-AE69-49FE-A2BF-176E671D74D8}"/>
    <cellStyle name="Comma 4 2 2 4 2 2 3" xfId="12230" xr:uid="{5136C80C-B701-4DD6-AF6A-F2F6D4BC64A9}"/>
    <cellStyle name="Comma 4 2 2 4 2 3" xfId="5020" xr:uid="{00000000-0005-0000-0000-00002E080000}"/>
    <cellStyle name="Comma 4 2 2 4 2 3 2" xfId="14302" xr:uid="{9E516501-78CC-480E-9E8A-3D10A2F3E5D9}"/>
    <cellStyle name="Comma 4 2 2 4 2 4" xfId="10085" xr:uid="{BF5A888A-2826-4822-BF11-313EC9B14623}"/>
    <cellStyle name="Comma 4 2 2 4 2 5" xfId="9255" xr:uid="{4D58B738-FB47-47D9-8666-1D87766A757E}"/>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860" xr:uid="{CB1FC118-485A-4917-B1E4-752646B93790}"/>
    <cellStyle name="Comma 4 2 2 4 3 2 3" xfId="12643" xr:uid="{D3ADC04A-38BB-409B-8E2E-E708A4E906B9}"/>
    <cellStyle name="Comma 4 2 2 4 3 3" xfId="5433" xr:uid="{00000000-0005-0000-0000-000032080000}"/>
    <cellStyle name="Comma 4 2 2 4 3 3 2" xfId="14715" xr:uid="{EA85F060-29BE-4A65-BE5D-5ABA5986156D}"/>
    <cellStyle name="Comma 4 2 2 4 3 4" xfId="10498" xr:uid="{C8A5DB4A-C9E5-45E9-9771-3FC092237EA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273" xr:uid="{774D202B-E128-471B-A3A3-893F1E98ED96}"/>
    <cellStyle name="Comma 4 2 2 4 4 2 3" xfId="13056" xr:uid="{09293B4C-8C0A-4CF9-8674-EEF515409106}"/>
    <cellStyle name="Comma 4 2 2 4 4 3" xfId="5846" xr:uid="{00000000-0005-0000-0000-000036080000}"/>
    <cellStyle name="Comma 4 2 2 4 4 3 2" xfId="15128" xr:uid="{DC2EC481-76B6-4074-AD9D-50629BF90C89}"/>
    <cellStyle name="Comma 4 2 2 4 4 4" xfId="10911" xr:uid="{C8AFA1C6-5833-4694-8FDE-A2BFF92C569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686" xr:uid="{149E9D1F-078C-4E6A-AD4F-442BF9678877}"/>
    <cellStyle name="Comma 4 2 2 4 5 2 3" xfId="13469" xr:uid="{9EA14677-EBE6-4666-AEDB-FD13CABD5A71}"/>
    <cellStyle name="Comma 4 2 2 4 5 3" xfId="6259" xr:uid="{00000000-0005-0000-0000-00003A080000}"/>
    <cellStyle name="Comma 4 2 2 4 5 3 2" xfId="15541" xr:uid="{91BED40F-2DF7-4673-8E35-FF981CFBBD53}"/>
    <cellStyle name="Comma 4 2 2 4 5 4" xfId="11324" xr:uid="{B4986042-2B24-43C3-81D3-87A417F803E8}"/>
    <cellStyle name="Comma 4 2 2 4 6" xfId="2388" xr:uid="{00000000-0005-0000-0000-00003B080000}"/>
    <cellStyle name="Comma 4 2 2 4 6 2" xfId="6672" xr:uid="{00000000-0005-0000-0000-00003C080000}"/>
    <cellStyle name="Comma 4 2 2 4 6 2 2" xfId="15954" xr:uid="{29FE49E1-D716-486D-88DE-3F6EC574C6E5}"/>
    <cellStyle name="Comma 4 2 2 4 6 3" xfId="11737" xr:uid="{A925B676-72B5-4E89-A83A-776C8B6CE4B0}"/>
    <cellStyle name="Comma 4 2 2 4 7" xfId="2375" xr:uid="{00000000-0005-0000-0000-00003D080000}"/>
    <cellStyle name="Comma 4 2 2 4 8" xfId="2766" xr:uid="{00000000-0005-0000-0000-00003E080000}"/>
    <cellStyle name="Comma 4 2 2 4 8 2" xfId="6989" xr:uid="{00000000-0005-0000-0000-00003F080000}"/>
    <cellStyle name="Comma 4 2 2 4 8 2 2" xfId="16271" xr:uid="{7A7AA63A-DD3F-429F-9979-4D2E948542BB}"/>
    <cellStyle name="Comma 4 2 2 4 8 3" xfId="12054" xr:uid="{0289C294-0595-4E9F-BABC-2C394FDC37E4}"/>
    <cellStyle name="Comma 4 2 2 4 9" xfId="4606" xr:uid="{00000000-0005-0000-0000-000040080000}"/>
    <cellStyle name="Comma 4 2 2 4 9 2" xfId="13888" xr:uid="{6506DE22-6917-4797-9E31-F8311C083B22}"/>
    <cellStyle name="Comma 4 2 2 5" xfId="135" xr:uid="{00000000-0005-0000-0000-000041080000}"/>
    <cellStyle name="Comma 4 2 2 5 10" xfId="9672" xr:uid="{0DA9090A-2F30-4019-A9FD-2F43BEA7B7E7}"/>
    <cellStyle name="Comma 4 2 2 5 11" xfId="8839" xr:uid="{FF9E5C8C-04CB-460A-9A17-FB5062791024}"/>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48" xr:uid="{81493009-0DCE-479F-B643-76DF7D73B4C6}"/>
    <cellStyle name="Comma 4 2 2 5 2 2 3" xfId="12231" xr:uid="{D1FDA4BE-7220-4F32-83BC-E125EC5F7C69}"/>
    <cellStyle name="Comma 4 2 2 5 2 3" xfId="5021" xr:uid="{00000000-0005-0000-0000-000045080000}"/>
    <cellStyle name="Comma 4 2 2 5 2 3 2" xfId="14303" xr:uid="{0460130E-F848-4758-B3C4-945690A8C0FA}"/>
    <cellStyle name="Comma 4 2 2 5 2 4" xfId="10086" xr:uid="{A99C6A31-A63B-44DA-A33D-85EB949353A7}"/>
    <cellStyle name="Comma 4 2 2 5 2 5" xfId="9256" xr:uid="{2FE95663-B524-418C-8D9A-F4FFCC877DFA}"/>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861" xr:uid="{68CABC83-379C-4E7D-AA39-26B08F5C3CE6}"/>
    <cellStyle name="Comma 4 2 2 5 3 2 3" xfId="12644" xr:uid="{645B3191-50CE-4B64-9E99-BD2BCE4BE31E}"/>
    <cellStyle name="Comma 4 2 2 5 3 3" xfId="5434" xr:uid="{00000000-0005-0000-0000-000049080000}"/>
    <cellStyle name="Comma 4 2 2 5 3 3 2" xfId="14716" xr:uid="{6F33BC3F-1F2B-4705-9497-ABD25A389339}"/>
    <cellStyle name="Comma 4 2 2 5 3 4" xfId="10499" xr:uid="{B8AFD332-E0CE-4953-958B-5DBE3BAB6F96}"/>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274" xr:uid="{6F40B682-27D9-445E-80F6-8B4A95BBDE6A}"/>
    <cellStyle name="Comma 4 2 2 5 4 2 3" xfId="13057" xr:uid="{68E0216C-89CC-47F0-811A-537046B95279}"/>
    <cellStyle name="Comma 4 2 2 5 4 3" xfId="5847" xr:uid="{00000000-0005-0000-0000-00004D080000}"/>
    <cellStyle name="Comma 4 2 2 5 4 3 2" xfId="15129" xr:uid="{C2804821-DA22-49B1-A4CE-7142F7C23B1C}"/>
    <cellStyle name="Comma 4 2 2 5 4 4" xfId="10912" xr:uid="{4286CD2E-6EEA-4036-A392-443F799DC73A}"/>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687" xr:uid="{C384AA73-1A26-4B39-9F78-F3788ED9C156}"/>
    <cellStyle name="Comma 4 2 2 5 5 2 3" xfId="13470" xr:uid="{9D982B11-FCA2-49DE-8C5E-8C22DFE72627}"/>
    <cellStyle name="Comma 4 2 2 5 5 3" xfId="6260" xr:uid="{00000000-0005-0000-0000-000051080000}"/>
    <cellStyle name="Comma 4 2 2 5 5 3 2" xfId="15542" xr:uid="{D0C70FDE-9A5D-4696-91BD-4C5E390BE308}"/>
    <cellStyle name="Comma 4 2 2 5 5 4" xfId="11325" xr:uid="{61EDD7BB-BE3C-414A-B804-D0CC791C2F0E}"/>
    <cellStyle name="Comma 4 2 2 5 6" xfId="2389" xr:uid="{00000000-0005-0000-0000-000052080000}"/>
    <cellStyle name="Comma 4 2 2 5 6 2" xfId="6673" xr:uid="{00000000-0005-0000-0000-000053080000}"/>
    <cellStyle name="Comma 4 2 2 5 6 2 2" xfId="15955" xr:uid="{0AA05A29-286F-4FE3-8F76-F9FCF1722B64}"/>
    <cellStyle name="Comma 4 2 2 5 6 3" xfId="11738" xr:uid="{83A4A949-ADCD-4567-9BD7-F05E905810FF}"/>
    <cellStyle name="Comma 4 2 2 5 7" xfId="2374" xr:uid="{00000000-0005-0000-0000-000054080000}"/>
    <cellStyle name="Comma 4 2 2 5 8" xfId="2767" xr:uid="{00000000-0005-0000-0000-000055080000}"/>
    <cellStyle name="Comma 4 2 2 5 8 2" xfId="6990" xr:uid="{00000000-0005-0000-0000-000056080000}"/>
    <cellStyle name="Comma 4 2 2 5 8 2 2" xfId="16272" xr:uid="{A22EAED1-D11F-49CD-9E8A-B624A2548F9F}"/>
    <cellStyle name="Comma 4 2 2 5 8 3" xfId="12055" xr:uid="{FCC7F937-8650-41E1-AD82-6603396AE0F5}"/>
    <cellStyle name="Comma 4 2 2 5 9" xfId="4607" xr:uid="{00000000-0005-0000-0000-000057080000}"/>
    <cellStyle name="Comma 4 2 2 5 9 2" xfId="13889" xr:uid="{3155F19A-99AC-4CC5-BAB8-8980D9AD6E93}"/>
    <cellStyle name="Comma 4 2 3" xfId="136" xr:uid="{00000000-0005-0000-0000-000058080000}"/>
    <cellStyle name="Comma 4 2 3 10" xfId="2768" xr:uid="{00000000-0005-0000-0000-000059080000}"/>
    <cellStyle name="Comma 4 2 3 10 2" xfId="6991" xr:uid="{00000000-0005-0000-0000-00005A080000}"/>
    <cellStyle name="Comma 4 2 3 10 2 2" xfId="16273" xr:uid="{37040527-2BE8-49E4-8E88-15D985E6C630}"/>
    <cellStyle name="Comma 4 2 3 10 3" xfId="12056" xr:uid="{137A3EC1-F644-4F88-A4A3-E4BC75A97B30}"/>
    <cellStyle name="Comma 4 2 3 11" xfId="4608" xr:uid="{00000000-0005-0000-0000-00005B080000}"/>
    <cellStyle name="Comma 4 2 3 11 2" xfId="13890" xr:uid="{B2E82163-AC27-453C-9A80-C3A14091229B}"/>
    <cellStyle name="Comma 4 2 3 12" xfId="9673" xr:uid="{204A9E8A-3C22-409B-8EE7-729F6BD5DE3C}"/>
    <cellStyle name="Comma 4 2 3 13" xfId="8840" xr:uid="{4570B4CE-3F8B-4ACC-8A6C-36B9B1AEF4A8}"/>
    <cellStyle name="Comma 4 2 3 2" xfId="137" xr:uid="{00000000-0005-0000-0000-00005C080000}"/>
    <cellStyle name="Comma 4 2 3 2 10" xfId="4609" xr:uid="{00000000-0005-0000-0000-00005D080000}"/>
    <cellStyle name="Comma 4 2 3 2 10 2" xfId="13891" xr:uid="{5776FB0E-1EC3-4903-940A-66276E8AC6F5}"/>
    <cellStyle name="Comma 4 2 3 2 11" xfId="9674" xr:uid="{B111C9CA-AE3D-4C33-A46F-E6D0A4B21212}"/>
    <cellStyle name="Comma 4 2 3 2 12" xfId="8841" xr:uid="{BEB2FAFE-201E-45D8-B895-F677D4658C64}"/>
    <cellStyle name="Comma 4 2 3 2 2" xfId="138" xr:uid="{00000000-0005-0000-0000-00005E080000}"/>
    <cellStyle name="Comma 4 2 3 2 2 10" xfId="9675" xr:uid="{82549B3E-FAE5-469E-831D-5E0D7116E656}"/>
    <cellStyle name="Comma 4 2 3 2 2 11" xfId="8842" xr:uid="{BBCB0DFD-6383-4103-9E1C-D7A3A398EA42}"/>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51" xr:uid="{05FDC71D-03CF-42B0-B745-55272B0E1CBB}"/>
    <cellStyle name="Comma 4 2 3 2 2 2 2 3" xfId="12234" xr:uid="{B864FDD9-0FB7-4C0F-8AEE-1F1BF5026950}"/>
    <cellStyle name="Comma 4 2 3 2 2 2 3" xfId="5024" xr:uid="{00000000-0005-0000-0000-000062080000}"/>
    <cellStyle name="Comma 4 2 3 2 2 2 3 2" xfId="14306" xr:uid="{F8642B6D-F5F1-4CE2-88C7-EC392B57D942}"/>
    <cellStyle name="Comma 4 2 3 2 2 2 4" xfId="10089" xr:uid="{807EAF65-3E14-4A06-86E3-1CAA5F5F966B}"/>
    <cellStyle name="Comma 4 2 3 2 2 2 5" xfId="9259" xr:uid="{D4C94518-41AB-48B9-B827-AB732F1F5B61}"/>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864" xr:uid="{C6A8A68E-250E-4E34-B0C3-70CD4A41B6EE}"/>
    <cellStyle name="Comma 4 2 3 2 2 3 2 3" xfId="12647" xr:uid="{3637CF10-46F9-4637-92EB-184410EE863B}"/>
    <cellStyle name="Comma 4 2 3 2 2 3 3" xfId="5437" xr:uid="{00000000-0005-0000-0000-000066080000}"/>
    <cellStyle name="Comma 4 2 3 2 2 3 3 2" xfId="14719" xr:uid="{D8997A8A-AA24-45AC-8CF6-0F66DF861710}"/>
    <cellStyle name="Comma 4 2 3 2 2 3 4" xfId="10502" xr:uid="{C4A49F3C-D525-4C52-928B-69E2F20BF375}"/>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277" xr:uid="{AED69CC6-2A93-437C-88D8-882E69A93DE4}"/>
    <cellStyle name="Comma 4 2 3 2 2 4 2 3" xfId="13060" xr:uid="{6988D268-1279-4DD5-B6A3-5861BD988618}"/>
    <cellStyle name="Comma 4 2 3 2 2 4 3" xfId="5850" xr:uid="{00000000-0005-0000-0000-00006A080000}"/>
    <cellStyle name="Comma 4 2 3 2 2 4 3 2" xfId="15132" xr:uid="{58B8FBC0-8C5C-4B8B-8DB9-64FD8C7CFA25}"/>
    <cellStyle name="Comma 4 2 3 2 2 4 4" xfId="10915" xr:uid="{A90B136A-A957-4557-A7FD-4B82F1AF9022}"/>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690" xr:uid="{2F9C9877-3FB1-4087-BE58-1CF3B8BE453C}"/>
    <cellStyle name="Comma 4 2 3 2 2 5 2 3" xfId="13473" xr:uid="{A364F341-D5E6-43BF-A99B-B69075BAF3D3}"/>
    <cellStyle name="Comma 4 2 3 2 2 5 3" xfId="6263" xr:uid="{00000000-0005-0000-0000-00006E080000}"/>
    <cellStyle name="Comma 4 2 3 2 2 5 3 2" xfId="15545" xr:uid="{2F45F1C0-79D6-4C0E-867C-665C29F665D2}"/>
    <cellStyle name="Comma 4 2 3 2 2 5 4" xfId="11328" xr:uid="{3C041710-F40C-4C76-A37B-7F9654641E93}"/>
    <cellStyle name="Comma 4 2 3 2 2 6" xfId="2392" xr:uid="{00000000-0005-0000-0000-00006F080000}"/>
    <cellStyle name="Comma 4 2 3 2 2 6 2" xfId="6676" xr:uid="{00000000-0005-0000-0000-000070080000}"/>
    <cellStyle name="Comma 4 2 3 2 2 6 2 2" xfId="15958" xr:uid="{06D67B15-DBF4-4C31-AF94-C79B8A35C7F2}"/>
    <cellStyle name="Comma 4 2 3 2 2 6 3" xfId="11741" xr:uid="{8E9168A0-5B25-4173-9FFE-C71AED08D3D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275" xr:uid="{F0B458EA-48B1-46E6-98E4-4C8C681A3546}"/>
    <cellStyle name="Comma 4 2 3 2 2 8 3" xfId="12058" xr:uid="{15546B6C-79A5-4A62-A18A-7BA944B03A8E}"/>
    <cellStyle name="Comma 4 2 3 2 2 9" xfId="4610" xr:uid="{00000000-0005-0000-0000-000074080000}"/>
    <cellStyle name="Comma 4 2 3 2 2 9 2" xfId="13892" xr:uid="{E7FBEB61-D203-44B6-A6E7-45B62FFCF691}"/>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50" xr:uid="{AD6F1BE2-5FC7-45BC-96EC-09A92681581E}"/>
    <cellStyle name="Comma 4 2 3 2 3 2 3" xfId="12233" xr:uid="{005A0CCC-1E9B-48C7-B6BF-838723B782A5}"/>
    <cellStyle name="Comma 4 2 3 2 3 3" xfId="5023" xr:uid="{00000000-0005-0000-0000-000078080000}"/>
    <cellStyle name="Comma 4 2 3 2 3 3 2" xfId="14305" xr:uid="{D470BAE9-CCAA-41A5-8FEB-4BFF43D81CA0}"/>
    <cellStyle name="Comma 4 2 3 2 3 4" xfId="10088" xr:uid="{BB879D3E-8B1E-47C5-A5DC-182056E7125D}"/>
    <cellStyle name="Comma 4 2 3 2 3 5" xfId="9258" xr:uid="{9AB61405-A045-4A3D-B5EB-3B5919D180E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863" xr:uid="{32C194CA-F610-4FB4-82FF-29ADBC25E517}"/>
    <cellStyle name="Comma 4 2 3 2 4 2 3" xfId="12646" xr:uid="{9E5A1086-4E31-493B-88F4-3F8A2FA6203A}"/>
    <cellStyle name="Comma 4 2 3 2 4 3" xfId="5436" xr:uid="{00000000-0005-0000-0000-00007C080000}"/>
    <cellStyle name="Comma 4 2 3 2 4 3 2" xfId="14718" xr:uid="{82DA0860-20F1-43CF-81B2-D031731EA14A}"/>
    <cellStyle name="Comma 4 2 3 2 4 4" xfId="10501" xr:uid="{0B65D528-4A44-4B62-9C79-852B1ACE4C2D}"/>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276" xr:uid="{B966B799-16FB-4615-B2B7-F464A8ABF714}"/>
    <cellStyle name="Comma 4 2 3 2 5 2 3" xfId="13059" xr:uid="{68A46CFC-2D77-441C-B38C-4F90BD2AD852}"/>
    <cellStyle name="Comma 4 2 3 2 5 3" xfId="5849" xr:uid="{00000000-0005-0000-0000-000080080000}"/>
    <cellStyle name="Comma 4 2 3 2 5 3 2" xfId="15131" xr:uid="{32081A03-CA4D-4033-A9BC-619608E7F6C4}"/>
    <cellStyle name="Comma 4 2 3 2 5 4" xfId="10914" xr:uid="{FE43BFF9-84B8-4456-9654-774DE447C6C5}"/>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689" xr:uid="{DFBAD840-611D-4E6F-A3DE-8724842644A7}"/>
    <cellStyle name="Comma 4 2 3 2 6 2 3" xfId="13472" xr:uid="{9C0687DE-CB59-4808-9B31-1C58A87A94B6}"/>
    <cellStyle name="Comma 4 2 3 2 6 3" xfId="6262" xr:uid="{00000000-0005-0000-0000-000084080000}"/>
    <cellStyle name="Comma 4 2 3 2 6 3 2" xfId="15544" xr:uid="{78C808E6-9951-495F-84A1-98C15DC33100}"/>
    <cellStyle name="Comma 4 2 3 2 6 4" xfId="11327" xr:uid="{E71152E0-9594-46BC-966F-CD081FB1C954}"/>
    <cellStyle name="Comma 4 2 3 2 7" xfId="2391" xr:uid="{00000000-0005-0000-0000-000085080000}"/>
    <cellStyle name="Comma 4 2 3 2 7 2" xfId="6675" xr:uid="{00000000-0005-0000-0000-000086080000}"/>
    <cellStyle name="Comma 4 2 3 2 7 2 2" xfId="15957" xr:uid="{A29C9D25-58D1-4AE7-A56C-054AC8385388}"/>
    <cellStyle name="Comma 4 2 3 2 7 3" xfId="11740" xr:uid="{C274A4A0-885C-422D-8520-38252796411B}"/>
    <cellStyle name="Comma 4 2 3 2 8" xfId="2372" xr:uid="{00000000-0005-0000-0000-000087080000}"/>
    <cellStyle name="Comma 4 2 3 2 9" xfId="2769" xr:uid="{00000000-0005-0000-0000-000088080000}"/>
    <cellStyle name="Comma 4 2 3 2 9 2" xfId="6992" xr:uid="{00000000-0005-0000-0000-000089080000}"/>
    <cellStyle name="Comma 4 2 3 2 9 2 2" xfId="16274" xr:uid="{5347B609-BF13-47D6-BFA0-E24EF85EC6D9}"/>
    <cellStyle name="Comma 4 2 3 2 9 3" xfId="12057" xr:uid="{F0B28E7D-AA98-4D71-868E-2008F49B148C}"/>
    <cellStyle name="Comma 4 2 3 3" xfId="139" xr:uid="{00000000-0005-0000-0000-00008A080000}"/>
    <cellStyle name="Comma 4 2 3 3 10" xfId="9676" xr:uid="{7047629D-2678-4CE6-825A-5663F87C5C08}"/>
    <cellStyle name="Comma 4 2 3 3 11" xfId="8843" xr:uid="{C82581F7-634A-461D-97C4-59EAE40FEA68}"/>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52" xr:uid="{328655C8-2EA9-4FCB-9FC0-A990FAA4AD3E}"/>
    <cellStyle name="Comma 4 2 3 3 2 2 3" xfId="12235" xr:uid="{A1846D90-5C21-495F-83E2-585491EBAF34}"/>
    <cellStyle name="Comma 4 2 3 3 2 3" xfId="5025" xr:uid="{00000000-0005-0000-0000-00008E080000}"/>
    <cellStyle name="Comma 4 2 3 3 2 3 2" xfId="14307" xr:uid="{05CB65B6-371D-407C-A0F4-69E81580A951}"/>
    <cellStyle name="Comma 4 2 3 3 2 4" xfId="10090" xr:uid="{4E056661-A928-459F-BB0E-8B2EBFE14E9A}"/>
    <cellStyle name="Comma 4 2 3 3 2 5" xfId="9260" xr:uid="{FA79C52C-B229-467E-91B1-B36F4EB8686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865" xr:uid="{D6614817-69D8-4491-AB02-B9D3298E5512}"/>
    <cellStyle name="Comma 4 2 3 3 3 2 3" xfId="12648" xr:uid="{F850195C-A90B-439B-BCED-254B1DBC1747}"/>
    <cellStyle name="Comma 4 2 3 3 3 3" xfId="5438" xr:uid="{00000000-0005-0000-0000-000092080000}"/>
    <cellStyle name="Comma 4 2 3 3 3 3 2" xfId="14720" xr:uid="{7FF16E33-37E2-4718-879F-76A619C2624C}"/>
    <cellStyle name="Comma 4 2 3 3 3 4" xfId="10503" xr:uid="{A3CF3ED8-0361-4D93-AF6F-8ED19D08C2F7}"/>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278" xr:uid="{7E4ABA5D-FDBD-4F44-A431-E32129795C92}"/>
    <cellStyle name="Comma 4 2 3 3 4 2 3" xfId="13061" xr:uid="{DE103E2B-6CF9-4F7C-A4DA-CA7EDA5911D7}"/>
    <cellStyle name="Comma 4 2 3 3 4 3" xfId="5851" xr:uid="{00000000-0005-0000-0000-000096080000}"/>
    <cellStyle name="Comma 4 2 3 3 4 3 2" xfId="15133" xr:uid="{C55DF5B2-6274-40F4-AA83-909065FF9B90}"/>
    <cellStyle name="Comma 4 2 3 3 4 4" xfId="10916" xr:uid="{09CAB289-01D5-4A40-8381-018E5D2EB2B7}"/>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691" xr:uid="{5ADA5278-97FE-42C5-A892-15EE56171182}"/>
    <cellStyle name="Comma 4 2 3 3 5 2 3" xfId="13474" xr:uid="{D8C14B8E-2EA9-4BA8-BB95-960A66D357B8}"/>
    <cellStyle name="Comma 4 2 3 3 5 3" xfId="6264" xr:uid="{00000000-0005-0000-0000-00009A080000}"/>
    <cellStyle name="Comma 4 2 3 3 5 3 2" xfId="15546" xr:uid="{E8FBF43A-AEFB-4640-9C1F-46E5600B01C2}"/>
    <cellStyle name="Comma 4 2 3 3 5 4" xfId="11329" xr:uid="{A435FF1B-A68C-4391-8026-F5D5F5DA31F8}"/>
    <cellStyle name="Comma 4 2 3 3 6" xfId="2393" xr:uid="{00000000-0005-0000-0000-00009B080000}"/>
    <cellStyle name="Comma 4 2 3 3 6 2" xfId="6677" xr:uid="{00000000-0005-0000-0000-00009C080000}"/>
    <cellStyle name="Comma 4 2 3 3 6 2 2" xfId="15959" xr:uid="{9DC19B11-11D7-470E-9C17-987902F20D5A}"/>
    <cellStyle name="Comma 4 2 3 3 6 3" xfId="11742" xr:uid="{214A5391-8B19-452F-BA3E-38DF7F04BEB5}"/>
    <cellStyle name="Comma 4 2 3 3 7" xfId="2370" xr:uid="{00000000-0005-0000-0000-00009D080000}"/>
    <cellStyle name="Comma 4 2 3 3 8" xfId="2771" xr:uid="{00000000-0005-0000-0000-00009E080000}"/>
    <cellStyle name="Comma 4 2 3 3 8 2" xfId="6994" xr:uid="{00000000-0005-0000-0000-00009F080000}"/>
    <cellStyle name="Comma 4 2 3 3 8 2 2" xfId="16276" xr:uid="{C884F8F3-7268-4FD3-A57B-C4237F610046}"/>
    <cellStyle name="Comma 4 2 3 3 8 3" xfId="12059" xr:uid="{9F9229DA-065D-4029-8E1F-E557BCA49855}"/>
    <cellStyle name="Comma 4 2 3 3 9" xfId="4611" xr:uid="{00000000-0005-0000-0000-0000A0080000}"/>
    <cellStyle name="Comma 4 2 3 3 9 2" xfId="13893" xr:uid="{A25C56F0-32CC-49B3-8730-6B0E3A00A495}"/>
    <cellStyle name="Comma 4 2 3 4" xfId="674" xr:uid="{00000000-0005-0000-0000-0000A1080000}"/>
    <cellStyle name="Comma 4 2 3 4 2" xfId="2945" xr:uid="{00000000-0005-0000-0000-0000A2080000}"/>
    <cellStyle name="Comma 4 2 3 4 2 2" xfId="7167" xr:uid="{00000000-0005-0000-0000-0000A3080000}"/>
    <cellStyle name="Comma 4 2 3 4 2 2 2" xfId="16449" xr:uid="{3B230768-52D6-4DA2-9925-0DEC26C50798}"/>
    <cellStyle name="Comma 4 2 3 4 2 3" xfId="12232" xr:uid="{0E87818C-B8A9-41B6-B2D6-7568EE75A414}"/>
    <cellStyle name="Comma 4 2 3 4 3" xfId="5022" xr:uid="{00000000-0005-0000-0000-0000A4080000}"/>
    <cellStyle name="Comma 4 2 3 4 3 2" xfId="14304" xr:uid="{144CA3CA-9B7F-4485-BC8B-EA23F0681E2B}"/>
    <cellStyle name="Comma 4 2 3 4 4" xfId="10087" xr:uid="{3EA767B6-D7D7-41FE-A9F3-7AC76D090574}"/>
    <cellStyle name="Comma 4 2 3 4 5" xfId="9257" xr:uid="{FD668B15-AC1E-4B4A-9F87-691DCB5C0630}"/>
    <cellStyle name="Comma 4 2 3 5" xfId="1127" xr:uid="{00000000-0005-0000-0000-0000A5080000}"/>
    <cellStyle name="Comma 4 2 3 5 2" xfId="3358" xr:uid="{00000000-0005-0000-0000-0000A6080000}"/>
    <cellStyle name="Comma 4 2 3 5 2 2" xfId="7580" xr:uid="{00000000-0005-0000-0000-0000A7080000}"/>
    <cellStyle name="Comma 4 2 3 5 2 2 2" xfId="16862" xr:uid="{7B04250A-D84C-4881-AC90-049B85B8385F}"/>
    <cellStyle name="Comma 4 2 3 5 2 3" xfId="12645" xr:uid="{89CC6CD7-66C9-468A-8520-D7CB6FB2EEC4}"/>
    <cellStyle name="Comma 4 2 3 5 3" xfId="5435" xr:uid="{00000000-0005-0000-0000-0000A8080000}"/>
    <cellStyle name="Comma 4 2 3 5 3 2" xfId="14717" xr:uid="{B081F8F1-470F-4C25-8F07-01D3F8F895FF}"/>
    <cellStyle name="Comma 4 2 3 5 4" xfId="10500" xr:uid="{0CB645F8-1A2C-48B4-A9C6-04184381F3E5}"/>
    <cellStyle name="Comma 4 2 3 6" xfId="1541" xr:uid="{00000000-0005-0000-0000-0000A9080000}"/>
    <cellStyle name="Comma 4 2 3 6 2" xfId="3771" xr:uid="{00000000-0005-0000-0000-0000AA080000}"/>
    <cellStyle name="Comma 4 2 3 6 2 2" xfId="7993" xr:uid="{00000000-0005-0000-0000-0000AB080000}"/>
    <cellStyle name="Comma 4 2 3 6 2 2 2" xfId="17275" xr:uid="{AA14E386-0C06-4991-80E9-D31F47DDA8B6}"/>
    <cellStyle name="Comma 4 2 3 6 2 3" xfId="13058" xr:uid="{514BBB8F-D856-4E3A-984D-611391624F54}"/>
    <cellStyle name="Comma 4 2 3 6 3" xfId="5848" xr:uid="{00000000-0005-0000-0000-0000AC080000}"/>
    <cellStyle name="Comma 4 2 3 6 3 2" xfId="15130" xr:uid="{77769C52-8774-4FE1-84D4-12C2FD2872C5}"/>
    <cellStyle name="Comma 4 2 3 6 4" xfId="10913" xr:uid="{7B69F9D0-7A12-4E5D-8924-43CDCEE3161A}"/>
    <cellStyle name="Comma 4 2 3 7" xfId="1955" xr:uid="{00000000-0005-0000-0000-0000AD080000}"/>
    <cellStyle name="Comma 4 2 3 7 2" xfId="4184" xr:uid="{00000000-0005-0000-0000-0000AE080000}"/>
    <cellStyle name="Comma 4 2 3 7 2 2" xfId="8406" xr:uid="{00000000-0005-0000-0000-0000AF080000}"/>
    <cellStyle name="Comma 4 2 3 7 2 2 2" xfId="17688" xr:uid="{9E3E777D-F6F5-42FF-9EC9-0FAD901AD10F}"/>
    <cellStyle name="Comma 4 2 3 7 2 3" xfId="13471" xr:uid="{10FBB6FD-A05D-4D7A-8BEB-8AEC6DB518C2}"/>
    <cellStyle name="Comma 4 2 3 7 3" xfId="6261" xr:uid="{00000000-0005-0000-0000-0000B0080000}"/>
    <cellStyle name="Comma 4 2 3 7 3 2" xfId="15543" xr:uid="{7124801C-B529-42BF-8246-0D93F6F75181}"/>
    <cellStyle name="Comma 4 2 3 7 4" xfId="11326" xr:uid="{92BD58BC-F321-4697-973C-241273CF7D49}"/>
    <cellStyle name="Comma 4 2 3 8" xfId="2390" xr:uid="{00000000-0005-0000-0000-0000B1080000}"/>
    <cellStyle name="Comma 4 2 3 8 2" xfId="6674" xr:uid="{00000000-0005-0000-0000-0000B2080000}"/>
    <cellStyle name="Comma 4 2 3 8 2 2" xfId="15956" xr:uid="{1BED0B92-24DB-4744-BD1B-F7CA855E2ADB}"/>
    <cellStyle name="Comma 4 2 3 8 3" xfId="11739" xr:uid="{1342AFF6-44D4-4D77-A81D-CC110373EBF7}"/>
    <cellStyle name="Comma 4 2 3 9" xfId="2373" xr:uid="{00000000-0005-0000-0000-0000B3080000}"/>
    <cellStyle name="Comma 4 2 4" xfId="140" xr:uid="{00000000-0005-0000-0000-0000B4080000}"/>
    <cellStyle name="Comma 4 2 4 10" xfId="4612" xr:uid="{00000000-0005-0000-0000-0000B5080000}"/>
    <cellStyle name="Comma 4 2 4 10 2" xfId="13894" xr:uid="{52CF3A48-3FC9-4EE3-BF25-294DA0C33074}"/>
    <cellStyle name="Comma 4 2 4 11" xfId="9677" xr:uid="{FAF07439-58BD-4E88-93A1-5687170C296A}"/>
    <cellStyle name="Comma 4 2 4 12" xfId="8844" xr:uid="{B6EDA66E-7385-4420-B3A5-C33D73DA43A6}"/>
    <cellStyle name="Comma 4 2 4 2" xfId="141" xr:uid="{00000000-0005-0000-0000-0000B6080000}"/>
    <cellStyle name="Comma 4 2 4 2 10" xfId="9678" xr:uid="{A0388875-7AB8-40D0-8515-B54D737C247C}"/>
    <cellStyle name="Comma 4 2 4 2 11" xfId="8845" xr:uid="{01985897-657B-487D-B85C-ABF090864230}"/>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54" xr:uid="{8D524E3C-AEBE-4667-A565-A6FA9639BCDA}"/>
    <cellStyle name="Comma 4 2 4 2 2 2 3" xfId="12237" xr:uid="{5CF18A1D-6863-42F6-BF89-2BE430D9C6BA}"/>
    <cellStyle name="Comma 4 2 4 2 2 3" xfId="5027" xr:uid="{00000000-0005-0000-0000-0000BA080000}"/>
    <cellStyle name="Comma 4 2 4 2 2 3 2" xfId="14309" xr:uid="{9F4983C1-1CBD-453E-9252-7B174FE5A773}"/>
    <cellStyle name="Comma 4 2 4 2 2 4" xfId="10092" xr:uid="{7D215BA5-09E4-4CE4-A05C-0CAA33F14A58}"/>
    <cellStyle name="Comma 4 2 4 2 2 5" xfId="9262" xr:uid="{020B964C-846B-496F-A1B0-7A7F2EBB068F}"/>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867" xr:uid="{EFDED5AD-9C09-4643-BDE5-ED79A5529F9E}"/>
    <cellStyle name="Comma 4 2 4 2 3 2 3" xfId="12650" xr:uid="{31FD79AD-A1BB-4D47-BEAB-D207BE1CE482}"/>
    <cellStyle name="Comma 4 2 4 2 3 3" xfId="5440" xr:uid="{00000000-0005-0000-0000-0000BE080000}"/>
    <cellStyle name="Comma 4 2 4 2 3 3 2" xfId="14722" xr:uid="{3EE8B9AF-1A48-48B6-A119-12BB22E16AEF}"/>
    <cellStyle name="Comma 4 2 4 2 3 4" xfId="10505" xr:uid="{E55F78C5-AA35-4972-93EC-72B29008AF58}"/>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280" xr:uid="{4533C3FD-31E3-40CC-AA84-27ABC469FA84}"/>
    <cellStyle name="Comma 4 2 4 2 4 2 3" xfId="13063" xr:uid="{2A20963E-767E-4017-BD42-5E36CBEA2F9E}"/>
    <cellStyle name="Comma 4 2 4 2 4 3" xfId="5853" xr:uid="{00000000-0005-0000-0000-0000C2080000}"/>
    <cellStyle name="Comma 4 2 4 2 4 3 2" xfId="15135" xr:uid="{D1770493-A4B5-415D-BAA5-BCDB1A91F88B}"/>
    <cellStyle name="Comma 4 2 4 2 4 4" xfId="10918" xr:uid="{E4FFF6DB-6D22-402A-9A24-1815B4555F51}"/>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693" xr:uid="{5E10AF85-96AB-4999-AD97-AF72F9D94CCE}"/>
    <cellStyle name="Comma 4 2 4 2 5 2 3" xfId="13476" xr:uid="{26C28280-4978-4BD3-8604-D484B200598D}"/>
    <cellStyle name="Comma 4 2 4 2 5 3" xfId="6266" xr:uid="{00000000-0005-0000-0000-0000C6080000}"/>
    <cellStyle name="Comma 4 2 4 2 5 3 2" xfId="15548" xr:uid="{44AD767B-EF81-42F7-8870-2655B2AA5143}"/>
    <cellStyle name="Comma 4 2 4 2 5 4" xfId="11331" xr:uid="{1C958031-FE09-49E0-AFE6-A456C6B3BD22}"/>
    <cellStyle name="Comma 4 2 4 2 6" xfId="2395" xr:uid="{00000000-0005-0000-0000-0000C7080000}"/>
    <cellStyle name="Comma 4 2 4 2 6 2" xfId="6679" xr:uid="{00000000-0005-0000-0000-0000C8080000}"/>
    <cellStyle name="Comma 4 2 4 2 6 2 2" xfId="15961" xr:uid="{E79E589E-9247-408D-9E9B-237BB82E03A6}"/>
    <cellStyle name="Comma 4 2 4 2 6 3" xfId="11744" xr:uid="{2E4387F3-807F-4C00-96E4-52EEBB3EC36D}"/>
    <cellStyle name="Comma 4 2 4 2 7" xfId="2368" xr:uid="{00000000-0005-0000-0000-0000C9080000}"/>
    <cellStyle name="Comma 4 2 4 2 8" xfId="2773" xr:uid="{00000000-0005-0000-0000-0000CA080000}"/>
    <cellStyle name="Comma 4 2 4 2 8 2" xfId="6996" xr:uid="{00000000-0005-0000-0000-0000CB080000}"/>
    <cellStyle name="Comma 4 2 4 2 8 2 2" xfId="16278" xr:uid="{E74C3630-9384-4961-A2B9-EF19E355A7D9}"/>
    <cellStyle name="Comma 4 2 4 2 8 3" xfId="12061" xr:uid="{5FB732C1-18D0-468B-9AF2-3055C4ECC666}"/>
    <cellStyle name="Comma 4 2 4 2 9" xfId="4613" xr:uid="{00000000-0005-0000-0000-0000CC080000}"/>
    <cellStyle name="Comma 4 2 4 2 9 2" xfId="13895" xr:uid="{B8D63557-3CFC-40CF-BCAF-8F630EC6D68C}"/>
    <cellStyle name="Comma 4 2 4 3" xfId="678" xr:uid="{00000000-0005-0000-0000-0000CD080000}"/>
    <cellStyle name="Comma 4 2 4 3 2" xfId="2949" xr:uid="{00000000-0005-0000-0000-0000CE080000}"/>
    <cellStyle name="Comma 4 2 4 3 2 2" xfId="7171" xr:uid="{00000000-0005-0000-0000-0000CF080000}"/>
    <cellStyle name="Comma 4 2 4 3 2 2 2" xfId="16453" xr:uid="{8398529E-016F-45C1-9A88-967D6F16EF12}"/>
    <cellStyle name="Comma 4 2 4 3 2 3" xfId="12236" xr:uid="{6550784E-586D-40A5-B958-0A961BDA3555}"/>
    <cellStyle name="Comma 4 2 4 3 3" xfId="5026" xr:uid="{00000000-0005-0000-0000-0000D0080000}"/>
    <cellStyle name="Comma 4 2 4 3 3 2" xfId="14308" xr:uid="{09079955-C0FF-43DD-89F0-52BEBDBCF520}"/>
    <cellStyle name="Comma 4 2 4 3 4" xfId="10091" xr:uid="{E9CFB2B6-7C5C-4DD2-A708-F565BE389C54}"/>
    <cellStyle name="Comma 4 2 4 3 5" xfId="9261" xr:uid="{BFBD4A1F-0F06-4C90-A1EC-521EBE6ED96C}"/>
    <cellStyle name="Comma 4 2 4 4" xfId="1131" xr:uid="{00000000-0005-0000-0000-0000D1080000}"/>
    <cellStyle name="Comma 4 2 4 4 2" xfId="3362" xr:uid="{00000000-0005-0000-0000-0000D2080000}"/>
    <cellStyle name="Comma 4 2 4 4 2 2" xfId="7584" xr:uid="{00000000-0005-0000-0000-0000D3080000}"/>
    <cellStyle name="Comma 4 2 4 4 2 2 2" xfId="16866" xr:uid="{E02BB400-10A7-40E7-A33A-4C32E5CEDD9E}"/>
    <cellStyle name="Comma 4 2 4 4 2 3" xfId="12649" xr:uid="{1557A812-9646-42EE-BBE9-FBB60D98C48E}"/>
    <cellStyle name="Comma 4 2 4 4 3" xfId="5439" xr:uid="{00000000-0005-0000-0000-0000D4080000}"/>
    <cellStyle name="Comma 4 2 4 4 3 2" xfId="14721" xr:uid="{CA0977DA-D22B-4F7C-818E-20AAB2CAA6C3}"/>
    <cellStyle name="Comma 4 2 4 4 4" xfId="10504" xr:uid="{8D8FE554-59CB-4022-94C1-61D3ED7D19C8}"/>
    <cellStyle name="Comma 4 2 4 5" xfId="1545" xr:uid="{00000000-0005-0000-0000-0000D5080000}"/>
    <cellStyle name="Comma 4 2 4 5 2" xfId="3775" xr:uid="{00000000-0005-0000-0000-0000D6080000}"/>
    <cellStyle name="Comma 4 2 4 5 2 2" xfId="7997" xr:uid="{00000000-0005-0000-0000-0000D7080000}"/>
    <cellStyle name="Comma 4 2 4 5 2 2 2" xfId="17279" xr:uid="{6BB4870E-D78A-4FA0-8AF6-91F748D3AE69}"/>
    <cellStyle name="Comma 4 2 4 5 2 3" xfId="13062" xr:uid="{9E510A36-E314-42F0-BD2A-030E59333F09}"/>
    <cellStyle name="Comma 4 2 4 5 3" xfId="5852" xr:uid="{00000000-0005-0000-0000-0000D8080000}"/>
    <cellStyle name="Comma 4 2 4 5 3 2" xfId="15134" xr:uid="{D515881D-F754-43B5-B34C-04938534C03E}"/>
    <cellStyle name="Comma 4 2 4 5 4" xfId="10917" xr:uid="{625BD6E4-354C-41DD-BCC2-FE8EFE284F41}"/>
    <cellStyle name="Comma 4 2 4 6" xfId="1959" xr:uid="{00000000-0005-0000-0000-0000D9080000}"/>
    <cellStyle name="Comma 4 2 4 6 2" xfId="4188" xr:uid="{00000000-0005-0000-0000-0000DA080000}"/>
    <cellStyle name="Comma 4 2 4 6 2 2" xfId="8410" xr:uid="{00000000-0005-0000-0000-0000DB080000}"/>
    <cellStyle name="Comma 4 2 4 6 2 2 2" xfId="17692" xr:uid="{67C9860E-6717-493C-8BD8-2EB7028A773B}"/>
    <cellStyle name="Comma 4 2 4 6 2 3" xfId="13475" xr:uid="{661FE0B8-62D8-4AB4-ABF8-25AA82576E56}"/>
    <cellStyle name="Comma 4 2 4 6 3" xfId="6265" xr:uid="{00000000-0005-0000-0000-0000DC080000}"/>
    <cellStyle name="Comma 4 2 4 6 3 2" xfId="15547" xr:uid="{1ABC9A73-4BF1-4297-A008-B954633E2905}"/>
    <cellStyle name="Comma 4 2 4 6 4" xfId="11330" xr:uid="{FFF2268E-8181-4AAF-905E-95F0F45AA4FE}"/>
    <cellStyle name="Comma 4 2 4 7" xfId="2394" xr:uid="{00000000-0005-0000-0000-0000DD080000}"/>
    <cellStyle name="Comma 4 2 4 7 2" xfId="6678" xr:uid="{00000000-0005-0000-0000-0000DE080000}"/>
    <cellStyle name="Comma 4 2 4 7 2 2" xfId="15960" xr:uid="{13E1B3E1-9B8A-474E-A778-18FBE537C9DA}"/>
    <cellStyle name="Comma 4 2 4 7 3" xfId="11743" xr:uid="{FA4A84CE-4459-4488-9847-0B6CDE842B2F}"/>
    <cellStyle name="Comma 4 2 4 8" xfId="2369" xr:uid="{00000000-0005-0000-0000-0000DF080000}"/>
    <cellStyle name="Comma 4 2 4 9" xfId="2772" xr:uid="{00000000-0005-0000-0000-0000E0080000}"/>
    <cellStyle name="Comma 4 2 4 9 2" xfId="6995" xr:uid="{00000000-0005-0000-0000-0000E1080000}"/>
    <cellStyle name="Comma 4 2 4 9 2 2" xfId="16277" xr:uid="{0C4E15A0-0FED-492B-9701-FBF0898D3BCA}"/>
    <cellStyle name="Comma 4 2 4 9 3" xfId="12060" xr:uid="{524D28AA-04F0-42FC-9337-19E8C9D87893}"/>
    <cellStyle name="Comma 4 2 5" xfId="142" xr:uid="{00000000-0005-0000-0000-0000E2080000}"/>
    <cellStyle name="Comma 4 2 5 10" xfId="9679" xr:uid="{35A97060-1131-4A49-AEEF-E8A1D76BF43D}"/>
    <cellStyle name="Comma 4 2 5 11" xfId="8846" xr:uid="{4C3701FD-0888-4602-8FF5-1DF9047CDB00}"/>
    <cellStyle name="Comma 4 2 5 2" xfId="680" xr:uid="{00000000-0005-0000-0000-0000E3080000}"/>
    <cellStyle name="Comma 4 2 5 2 2" xfId="2951" xr:uid="{00000000-0005-0000-0000-0000E4080000}"/>
    <cellStyle name="Comma 4 2 5 2 2 2" xfId="7173" xr:uid="{00000000-0005-0000-0000-0000E5080000}"/>
    <cellStyle name="Comma 4 2 5 2 2 2 2" xfId="16455" xr:uid="{DF8DA917-0636-4E0D-A137-744FA8EBDDDD}"/>
    <cellStyle name="Comma 4 2 5 2 2 3" xfId="12238" xr:uid="{02A95699-1938-40E2-B105-274DCFA4B98E}"/>
    <cellStyle name="Comma 4 2 5 2 3" xfId="5028" xr:uid="{00000000-0005-0000-0000-0000E6080000}"/>
    <cellStyle name="Comma 4 2 5 2 3 2" xfId="14310" xr:uid="{67AC8EE2-AABD-438D-B862-E03977CD9B26}"/>
    <cellStyle name="Comma 4 2 5 2 4" xfId="10093" xr:uid="{6DEEB778-EA64-4AB6-9C5E-13058071F44D}"/>
    <cellStyle name="Comma 4 2 5 2 5" xfId="9263" xr:uid="{29F105DA-1440-423A-BFD4-A70F39E14F28}"/>
    <cellStyle name="Comma 4 2 5 3" xfId="1133" xr:uid="{00000000-0005-0000-0000-0000E7080000}"/>
    <cellStyle name="Comma 4 2 5 3 2" xfId="3364" xr:uid="{00000000-0005-0000-0000-0000E8080000}"/>
    <cellStyle name="Comma 4 2 5 3 2 2" xfId="7586" xr:uid="{00000000-0005-0000-0000-0000E9080000}"/>
    <cellStyle name="Comma 4 2 5 3 2 2 2" xfId="16868" xr:uid="{BA8AC03C-FD51-40FA-B255-2B8E961321B7}"/>
    <cellStyle name="Comma 4 2 5 3 2 3" xfId="12651" xr:uid="{EB8D80C6-2C8A-4A18-8ABA-779010E32718}"/>
    <cellStyle name="Comma 4 2 5 3 3" xfId="5441" xr:uid="{00000000-0005-0000-0000-0000EA080000}"/>
    <cellStyle name="Comma 4 2 5 3 3 2" xfId="14723" xr:uid="{10A2B9F0-02F6-45E8-BAE4-92E881BBEA6E}"/>
    <cellStyle name="Comma 4 2 5 3 4" xfId="10506" xr:uid="{FDAA9B12-5064-4CF7-BD70-A6F697043487}"/>
    <cellStyle name="Comma 4 2 5 4" xfId="1547" xr:uid="{00000000-0005-0000-0000-0000EB080000}"/>
    <cellStyle name="Comma 4 2 5 4 2" xfId="3777" xr:uid="{00000000-0005-0000-0000-0000EC080000}"/>
    <cellStyle name="Comma 4 2 5 4 2 2" xfId="7999" xr:uid="{00000000-0005-0000-0000-0000ED080000}"/>
    <cellStyle name="Comma 4 2 5 4 2 2 2" xfId="17281" xr:uid="{ECF09179-037B-425D-89BB-7715A7E14B1A}"/>
    <cellStyle name="Comma 4 2 5 4 2 3" xfId="13064" xr:uid="{953BF00F-757E-41B2-87EF-1AB38F6F77C0}"/>
    <cellStyle name="Comma 4 2 5 4 3" xfId="5854" xr:uid="{00000000-0005-0000-0000-0000EE080000}"/>
    <cellStyle name="Comma 4 2 5 4 3 2" xfId="15136" xr:uid="{B9EFA6DA-F4B6-4578-A78B-D2954707B0FB}"/>
    <cellStyle name="Comma 4 2 5 4 4" xfId="10919" xr:uid="{E72F6F88-515A-4880-821B-B9D41FC3C748}"/>
    <cellStyle name="Comma 4 2 5 5" xfId="1961" xr:uid="{00000000-0005-0000-0000-0000EF080000}"/>
    <cellStyle name="Comma 4 2 5 5 2" xfId="4190" xr:uid="{00000000-0005-0000-0000-0000F0080000}"/>
    <cellStyle name="Comma 4 2 5 5 2 2" xfId="8412" xr:uid="{00000000-0005-0000-0000-0000F1080000}"/>
    <cellStyle name="Comma 4 2 5 5 2 2 2" xfId="17694" xr:uid="{DE80632F-A771-430D-8954-14D3925876F0}"/>
    <cellStyle name="Comma 4 2 5 5 2 3" xfId="13477" xr:uid="{AFF80BA1-B881-4E9B-B407-AC966C30EB0A}"/>
    <cellStyle name="Comma 4 2 5 5 3" xfId="6267" xr:uid="{00000000-0005-0000-0000-0000F2080000}"/>
    <cellStyle name="Comma 4 2 5 5 3 2" xfId="15549" xr:uid="{789B4C0F-A14B-4D0F-9AED-F25E524FD7B6}"/>
    <cellStyle name="Comma 4 2 5 5 4" xfId="11332" xr:uid="{DA274DF2-8465-4EF6-8CA5-5E80808607BC}"/>
    <cellStyle name="Comma 4 2 5 6" xfId="2396" xr:uid="{00000000-0005-0000-0000-0000F3080000}"/>
    <cellStyle name="Comma 4 2 5 6 2" xfId="6680" xr:uid="{00000000-0005-0000-0000-0000F4080000}"/>
    <cellStyle name="Comma 4 2 5 6 2 2" xfId="15962" xr:uid="{E7E204D9-4782-4B7F-93FA-DEEDA30B742E}"/>
    <cellStyle name="Comma 4 2 5 6 3" xfId="11745" xr:uid="{D2A7521D-A872-400D-86F4-60847ECEA438}"/>
    <cellStyle name="Comma 4 2 5 7" xfId="2367" xr:uid="{00000000-0005-0000-0000-0000F5080000}"/>
    <cellStyle name="Comma 4 2 5 8" xfId="2774" xr:uid="{00000000-0005-0000-0000-0000F6080000}"/>
    <cellStyle name="Comma 4 2 5 8 2" xfId="6997" xr:uid="{00000000-0005-0000-0000-0000F7080000}"/>
    <cellStyle name="Comma 4 2 5 8 2 2" xfId="16279" xr:uid="{63E867CD-6B9F-409C-9C4F-49D3BF5B559C}"/>
    <cellStyle name="Comma 4 2 5 8 3" xfId="12062" xr:uid="{B41CCB45-AF84-459A-992D-12B9246251EA}"/>
    <cellStyle name="Comma 4 2 5 9" xfId="4614" xr:uid="{00000000-0005-0000-0000-0000F8080000}"/>
    <cellStyle name="Comma 4 2 5 9 2" xfId="13896" xr:uid="{0C135501-8780-4C2B-9A6C-E452971FFFFE}"/>
    <cellStyle name="Comma 4 2 6" xfId="143" xr:uid="{00000000-0005-0000-0000-0000F9080000}"/>
    <cellStyle name="Comma 4 2 6 10" xfId="9680" xr:uid="{59B0FEDA-CCFA-4246-97C3-61642EA8A13C}"/>
    <cellStyle name="Comma 4 2 6 11" xfId="8847" xr:uid="{A38FFB2A-C107-4185-BF6C-6B93506EF186}"/>
    <cellStyle name="Comma 4 2 6 2" xfId="681" xr:uid="{00000000-0005-0000-0000-0000FA080000}"/>
    <cellStyle name="Comma 4 2 6 2 2" xfId="2952" xr:uid="{00000000-0005-0000-0000-0000FB080000}"/>
    <cellStyle name="Comma 4 2 6 2 2 2" xfId="7174" xr:uid="{00000000-0005-0000-0000-0000FC080000}"/>
    <cellStyle name="Comma 4 2 6 2 2 2 2" xfId="16456" xr:uid="{8F768692-0322-4944-BFE7-FE397B80D11C}"/>
    <cellStyle name="Comma 4 2 6 2 2 3" xfId="12239" xr:uid="{2D5F1040-CD15-429E-B8AA-668CB8479C52}"/>
    <cellStyle name="Comma 4 2 6 2 3" xfId="5029" xr:uid="{00000000-0005-0000-0000-0000FD080000}"/>
    <cellStyle name="Comma 4 2 6 2 3 2" xfId="14311" xr:uid="{EBDCBB2C-12B5-467B-B63C-9DBE0896C36B}"/>
    <cellStyle name="Comma 4 2 6 2 4" xfId="10094" xr:uid="{2146C391-BBE7-48FD-B759-A7F03E53D9A9}"/>
    <cellStyle name="Comma 4 2 6 2 5" xfId="9264" xr:uid="{C1F81663-068F-4E17-9CF7-8C239947D6A4}"/>
    <cellStyle name="Comma 4 2 6 3" xfId="1134" xr:uid="{00000000-0005-0000-0000-0000FE080000}"/>
    <cellStyle name="Comma 4 2 6 3 2" xfId="3365" xr:uid="{00000000-0005-0000-0000-0000FF080000}"/>
    <cellStyle name="Comma 4 2 6 3 2 2" xfId="7587" xr:uid="{00000000-0005-0000-0000-000000090000}"/>
    <cellStyle name="Comma 4 2 6 3 2 2 2" xfId="16869" xr:uid="{23FA100D-94CB-43FD-9E3F-FFD6A425700F}"/>
    <cellStyle name="Comma 4 2 6 3 2 3" xfId="12652" xr:uid="{0A3A36FB-B117-463F-9A58-A6AF58D04B42}"/>
    <cellStyle name="Comma 4 2 6 3 3" xfId="5442" xr:uid="{00000000-0005-0000-0000-000001090000}"/>
    <cellStyle name="Comma 4 2 6 3 3 2" xfId="14724" xr:uid="{508B0112-77EB-4CF7-BCBC-AD426213A3CB}"/>
    <cellStyle name="Comma 4 2 6 3 4" xfId="10507" xr:uid="{9C107D80-9CFB-478A-8DEF-5325BE1F511D}"/>
    <cellStyle name="Comma 4 2 6 4" xfId="1548" xr:uid="{00000000-0005-0000-0000-000002090000}"/>
    <cellStyle name="Comma 4 2 6 4 2" xfId="3778" xr:uid="{00000000-0005-0000-0000-000003090000}"/>
    <cellStyle name="Comma 4 2 6 4 2 2" xfId="8000" xr:uid="{00000000-0005-0000-0000-000004090000}"/>
    <cellStyle name="Comma 4 2 6 4 2 2 2" xfId="17282" xr:uid="{1628362D-8FB3-4ACA-9921-08BE5586979A}"/>
    <cellStyle name="Comma 4 2 6 4 2 3" xfId="13065" xr:uid="{9D0F0684-4526-4723-BA0E-888F8317F119}"/>
    <cellStyle name="Comma 4 2 6 4 3" xfId="5855" xr:uid="{00000000-0005-0000-0000-000005090000}"/>
    <cellStyle name="Comma 4 2 6 4 3 2" xfId="15137" xr:uid="{7128B941-93F9-4CFF-B4D3-8942CF2D100F}"/>
    <cellStyle name="Comma 4 2 6 4 4" xfId="10920" xr:uid="{75A51FE5-80A4-46BE-9A46-A814301BC7BE}"/>
    <cellStyle name="Comma 4 2 6 5" xfId="1962" xr:uid="{00000000-0005-0000-0000-000006090000}"/>
    <cellStyle name="Comma 4 2 6 5 2" xfId="4191" xr:uid="{00000000-0005-0000-0000-000007090000}"/>
    <cellStyle name="Comma 4 2 6 5 2 2" xfId="8413" xr:uid="{00000000-0005-0000-0000-000008090000}"/>
    <cellStyle name="Comma 4 2 6 5 2 2 2" xfId="17695" xr:uid="{5841EB75-0C29-42C6-A547-4D8BA644C622}"/>
    <cellStyle name="Comma 4 2 6 5 2 3" xfId="13478" xr:uid="{768D0F61-12F5-420B-B575-B319DF6E6FB0}"/>
    <cellStyle name="Comma 4 2 6 5 3" xfId="6268" xr:uid="{00000000-0005-0000-0000-000009090000}"/>
    <cellStyle name="Comma 4 2 6 5 3 2" xfId="15550" xr:uid="{948D432F-039E-4195-AD66-EC503D123474}"/>
    <cellStyle name="Comma 4 2 6 5 4" xfId="11333" xr:uid="{5A4DC06E-4FF7-44B9-8EB1-F00F464891DE}"/>
    <cellStyle name="Comma 4 2 6 6" xfId="2397" xr:uid="{00000000-0005-0000-0000-00000A090000}"/>
    <cellStyle name="Comma 4 2 6 6 2" xfId="6681" xr:uid="{00000000-0005-0000-0000-00000B090000}"/>
    <cellStyle name="Comma 4 2 6 6 2 2" xfId="15963" xr:uid="{C4114F9B-26A9-4258-AE85-6841C5DB823D}"/>
    <cellStyle name="Comma 4 2 6 6 3" xfId="11746" xr:uid="{562A7ACA-178E-4DD2-8A09-EBC100050D71}"/>
    <cellStyle name="Comma 4 2 6 7" xfId="2366" xr:uid="{00000000-0005-0000-0000-00000C090000}"/>
    <cellStyle name="Comma 4 2 6 8" xfId="2775" xr:uid="{00000000-0005-0000-0000-00000D090000}"/>
    <cellStyle name="Comma 4 2 6 8 2" xfId="6998" xr:uid="{00000000-0005-0000-0000-00000E090000}"/>
    <cellStyle name="Comma 4 2 6 8 2 2" xfId="16280" xr:uid="{0F0C8B53-F6D2-4559-A07E-C19C80FCBA0B}"/>
    <cellStyle name="Comma 4 2 6 8 3" xfId="12063" xr:uid="{2B60CCF9-E018-415C-9E8D-47244EB04963}"/>
    <cellStyle name="Comma 4 2 6 9" xfId="4615" xr:uid="{00000000-0005-0000-0000-00000F090000}"/>
    <cellStyle name="Comma 4 2 6 9 2" xfId="13897" xr:uid="{B6C44653-02F6-4F9F-AD89-3D83DE731D5B}"/>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281" xr:uid="{953CC923-1980-455B-ADF5-737D4A42618B}"/>
    <cellStyle name="Comma 4 3 2 10 3" xfId="12064" xr:uid="{D3ED2424-A0CF-4237-B264-E8E98C5956E4}"/>
    <cellStyle name="Comma 4 3 2 11" xfId="4616" xr:uid="{00000000-0005-0000-0000-000014090000}"/>
    <cellStyle name="Comma 4 3 2 11 2" xfId="13898" xr:uid="{163F9C43-050D-4482-8783-9EED70A63FEB}"/>
    <cellStyle name="Comma 4 3 2 12" xfId="9681" xr:uid="{A6645CD6-5FE4-4A36-8EA9-1343B173AD7F}"/>
    <cellStyle name="Comma 4 3 2 13" xfId="8848" xr:uid="{391EC31E-A44B-4C12-90AA-ACF38AAFE0EA}"/>
    <cellStyle name="Comma 4 3 2 2" xfId="146" xr:uid="{00000000-0005-0000-0000-000015090000}"/>
    <cellStyle name="Comma 4 3 2 2 10" xfId="4617" xr:uid="{00000000-0005-0000-0000-000016090000}"/>
    <cellStyle name="Comma 4 3 2 2 10 2" xfId="13899" xr:uid="{F768AF04-5B3B-4EA9-B029-E3B185425FFD}"/>
    <cellStyle name="Comma 4 3 2 2 11" xfId="9682" xr:uid="{021FF8C5-2859-4665-A044-1AF0972959CD}"/>
    <cellStyle name="Comma 4 3 2 2 12" xfId="8849" xr:uid="{FDB95162-A1FF-4DC3-904F-D08F6E6365B3}"/>
    <cellStyle name="Comma 4 3 2 2 2" xfId="147" xr:uid="{00000000-0005-0000-0000-000017090000}"/>
    <cellStyle name="Comma 4 3 2 2 2 10" xfId="9683" xr:uid="{685A5030-2839-4519-B02E-196ADCCCC268}"/>
    <cellStyle name="Comma 4 3 2 2 2 11" xfId="8850" xr:uid="{890E0C11-AAEF-4590-A505-C0186A1A2C4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459" xr:uid="{D0C2B7F4-B801-4215-B921-2A7AFEF5410F}"/>
    <cellStyle name="Comma 4 3 2 2 2 2 2 3" xfId="12242" xr:uid="{E8EC8060-10FB-40D8-AE11-17C195D8506C}"/>
    <cellStyle name="Comma 4 3 2 2 2 2 3" xfId="5032" xr:uid="{00000000-0005-0000-0000-00001B090000}"/>
    <cellStyle name="Comma 4 3 2 2 2 2 3 2" xfId="14314" xr:uid="{5ACD447C-6AC7-44BF-8D01-970AAAB2A6B1}"/>
    <cellStyle name="Comma 4 3 2 2 2 2 4" xfId="10097" xr:uid="{7769BEEF-3D5C-45B7-A692-3BF74740193A}"/>
    <cellStyle name="Comma 4 3 2 2 2 2 5" xfId="9267" xr:uid="{D0E43AC3-5DB0-4AE0-8A98-C606E583BC2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872" xr:uid="{1D98A292-963B-40B5-9B1D-BF1DE88E325E}"/>
    <cellStyle name="Comma 4 3 2 2 2 3 2 3" xfId="12655" xr:uid="{000BF756-CAD4-4945-8F08-03CECA98308B}"/>
    <cellStyle name="Comma 4 3 2 2 2 3 3" xfId="5445" xr:uid="{00000000-0005-0000-0000-00001F090000}"/>
    <cellStyle name="Comma 4 3 2 2 2 3 3 2" xfId="14727" xr:uid="{21EB7372-CD69-40CD-BFA0-AE09BCA608BC}"/>
    <cellStyle name="Comma 4 3 2 2 2 3 4" xfId="10510" xr:uid="{B70DC3C5-4B2E-4E66-8686-71FC430D96C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285" xr:uid="{3DBBC3CD-578D-44A0-BAE5-9721D6134EB0}"/>
    <cellStyle name="Comma 4 3 2 2 2 4 2 3" xfId="13068" xr:uid="{6FD73218-E2FD-4866-A1B3-E3E6D464F783}"/>
    <cellStyle name="Comma 4 3 2 2 2 4 3" xfId="5858" xr:uid="{00000000-0005-0000-0000-000023090000}"/>
    <cellStyle name="Comma 4 3 2 2 2 4 3 2" xfId="15140" xr:uid="{96D3B879-F24A-4A65-B1B0-F438B7186E00}"/>
    <cellStyle name="Comma 4 3 2 2 2 4 4" xfId="10923" xr:uid="{F50AFAD1-962B-4F95-929D-77AF2D44201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698" xr:uid="{FA0A62A6-13CB-4E9D-B964-D776011D5E68}"/>
    <cellStyle name="Comma 4 3 2 2 2 5 2 3" xfId="13481" xr:uid="{6B122EE5-2CDD-4809-B4F8-C3F818D713CE}"/>
    <cellStyle name="Comma 4 3 2 2 2 5 3" xfId="6271" xr:uid="{00000000-0005-0000-0000-000027090000}"/>
    <cellStyle name="Comma 4 3 2 2 2 5 3 2" xfId="15553" xr:uid="{55F9C5C5-276B-495C-BAE0-128F28BCC001}"/>
    <cellStyle name="Comma 4 3 2 2 2 5 4" xfId="11336" xr:uid="{28282EDF-193E-4E9E-84B7-A7929F481933}"/>
    <cellStyle name="Comma 4 3 2 2 2 6" xfId="2400" xr:uid="{00000000-0005-0000-0000-000028090000}"/>
    <cellStyle name="Comma 4 3 2 2 2 6 2" xfId="6684" xr:uid="{00000000-0005-0000-0000-000029090000}"/>
    <cellStyle name="Comma 4 3 2 2 2 6 2 2" xfId="15966" xr:uid="{75894A64-8AB3-4066-B20F-9E9753A6766E}"/>
    <cellStyle name="Comma 4 3 2 2 2 6 3" xfId="11749" xr:uid="{F63F7EE9-559A-4CED-93DD-3A0C47C8EAC8}"/>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283" xr:uid="{07C82B57-DF75-4A86-8C95-6EC4B908CCF5}"/>
    <cellStyle name="Comma 4 3 2 2 2 8 3" xfId="12066" xr:uid="{F0C1B928-12E2-4A94-A4CB-0FA83BF33C54}"/>
    <cellStyle name="Comma 4 3 2 2 2 9" xfId="4618" xr:uid="{00000000-0005-0000-0000-00002D090000}"/>
    <cellStyle name="Comma 4 3 2 2 2 9 2" xfId="13900" xr:uid="{5A4ACFAA-95D6-4E97-BD1E-51EAC98D4B97}"/>
    <cellStyle name="Comma 4 3 2 2 3" xfId="683" xr:uid="{00000000-0005-0000-0000-00002E090000}"/>
    <cellStyle name="Comma 4 3 2 2 3 2" xfId="2954" xr:uid="{00000000-0005-0000-0000-00002F090000}"/>
    <cellStyle name="Comma 4 3 2 2 3 2 2" xfId="7176" xr:uid="{00000000-0005-0000-0000-000030090000}"/>
    <cellStyle name="Comma 4 3 2 2 3 2 2 2" xfId="16458" xr:uid="{84C40FED-6888-47FC-9E61-CFE4D0D5AAB5}"/>
    <cellStyle name="Comma 4 3 2 2 3 2 3" xfId="12241" xr:uid="{6AA49B21-2105-4ED5-88DC-6B9EBC30B9BD}"/>
    <cellStyle name="Comma 4 3 2 2 3 3" xfId="5031" xr:uid="{00000000-0005-0000-0000-000031090000}"/>
    <cellStyle name="Comma 4 3 2 2 3 3 2" xfId="14313" xr:uid="{C735ABEC-8699-4CC8-8807-6FEE3E42E361}"/>
    <cellStyle name="Comma 4 3 2 2 3 4" xfId="10096" xr:uid="{8DCE0BED-8831-4D22-A67A-54AADCCBBAA6}"/>
    <cellStyle name="Comma 4 3 2 2 3 5" xfId="9266" xr:uid="{B7566F07-A9C9-42E6-8207-FEEAB601D8FC}"/>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871" xr:uid="{FEB209F2-83AC-41ED-8D97-CFF810995F09}"/>
    <cellStyle name="Comma 4 3 2 2 4 2 3" xfId="12654" xr:uid="{5C7481A4-2B4D-448C-AA4F-D7A6AF32A16E}"/>
    <cellStyle name="Comma 4 3 2 2 4 3" xfId="5444" xr:uid="{00000000-0005-0000-0000-000035090000}"/>
    <cellStyle name="Comma 4 3 2 2 4 3 2" xfId="14726" xr:uid="{9D51D6D3-EC36-4A78-A927-019EB6F2C69F}"/>
    <cellStyle name="Comma 4 3 2 2 4 4" xfId="10509" xr:uid="{826D12B0-75EB-4059-9BB7-A931D03A0019}"/>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284" xr:uid="{C4EC1006-C797-495F-9C5A-3C86C9C1094B}"/>
    <cellStyle name="Comma 4 3 2 2 5 2 3" xfId="13067" xr:uid="{A0795D56-0FDF-4E07-8E4A-00E91F4E1AA0}"/>
    <cellStyle name="Comma 4 3 2 2 5 3" xfId="5857" xr:uid="{00000000-0005-0000-0000-000039090000}"/>
    <cellStyle name="Comma 4 3 2 2 5 3 2" xfId="15139" xr:uid="{20710E3F-0A2C-4EE8-BBA5-198CD3654306}"/>
    <cellStyle name="Comma 4 3 2 2 5 4" xfId="10922" xr:uid="{81A811CA-8D50-449D-BAAE-664E67F640D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697" xr:uid="{06AC750F-936E-4569-833B-32200AB79DE7}"/>
    <cellStyle name="Comma 4 3 2 2 6 2 3" xfId="13480" xr:uid="{0769C9AD-3AC4-4B79-8452-A80ABAB8F132}"/>
    <cellStyle name="Comma 4 3 2 2 6 3" xfId="6270" xr:uid="{00000000-0005-0000-0000-00003D090000}"/>
    <cellStyle name="Comma 4 3 2 2 6 3 2" xfId="15552" xr:uid="{4AF20137-3029-4607-A689-B7D035901D63}"/>
    <cellStyle name="Comma 4 3 2 2 6 4" xfId="11335" xr:uid="{42333FF7-C8D4-4FA7-AB31-4DDC8FCDBAF2}"/>
    <cellStyle name="Comma 4 3 2 2 7" xfId="2399" xr:uid="{00000000-0005-0000-0000-00003E090000}"/>
    <cellStyle name="Comma 4 3 2 2 7 2" xfId="6683" xr:uid="{00000000-0005-0000-0000-00003F090000}"/>
    <cellStyle name="Comma 4 3 2 2 7 2 2" xfId="15965" xr:uid="{7F3E865F-34E4-439E-986B-9019018AB2DF}"/>
    <cellStyle name="Comma 4 3 2 2 7 3" xfId="11748" xr:uid="{D265B007-EB31-457B-8942-98B3138B884E}"/>
    <cellStyle name="Comma 4 3 2 2 8" xfId="2364" xr:uid="{00000000-0005-0000-0000-000040090000}"/>
    <cellStyle name="Comma 4 3 2 2 9" xfId="2777" xr:uid="{00000000-0005-0000-0000-000041090000}"/>
    <cellStyle name="Comma 4 3 2 2 9 2" xfId="7000" xr:uid="{00000000-0005-0000-0000-000042090000}"/>
    <cellStyle name="Comma 4 3 2 2 9 2 2" xfId="16282" xr:uid="{F0A0FBAF-8FA5-4F67-8E30-B7C4B124D94C}"/>
    <cellStyle name="Comma 4 3 2 2 9 3" xfId="12065" xr:uid="{AE6E7BDC-2AB6-48B4-B354-12186C930731}"/>
    <cellStyle name="Comma 4 3 2 3" xfId="148" xr:uid="{00000000-0005-0000-0000-000043090000}"/>
    <cellStyle name="Comma 4 3 2 3 10" xfId="9684" xr:uid="{E35EBBDD-7F86-4598-BB98-809ACA698FD8}"/>
    <cellStyle name="Comma 4 3 2 3 11" xfId="8851" xr:uid="{3A3A9D3F-560F-4182-9F54-8F6F053906F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460" xr:uid="{5A08C061-785F-4FD3-B346-669E7B005333}"/>
    <cellStyle name="Comma 4 3 2 3 2 2 3" xfId="12243" xr:uid="{434A59EC-5B27-4A12-98D4-64F3FE3CCAB7}"/>
    <cellStyle name="Comma 4 3 2 3 2 3" xfId="5033" xr:uid="{00000000-0005-0000-0000-000047090000}"/>
    <cellStyle name="Comma 4 3 2 3 2 3 2" xfId="14315" xr:uid="{1671EADA-D658-4D15-993F-DDAAA956AE0A}"/>
    <cellStyle name="Comma 4 3 2 3 2 4" xfId="10098" xr:uid="{937C07D0-2463-4501-B0A2-00144B06BC56}"/>
    <cellStyle name="Comma 4 3 2 3 2 5" xfId="9268" xr:uid="{C11E44E0-D86A-45C5-807B-717543E847CA}"/>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873" xr:uid="{E80FF4F3-58B2-4479-99CD-C0EAC3C4EDEA}"/>
    <cellStyle name="Comma 4 3 2 3 3 2 3" xfId="12656" xr:uid="{B64EF70E-76D8-453A-84E6-5B6471474633}"/>
    <cellStyle name="Comma 4 3 2 3 3 3" xfId="5446" xr:uid="{00000000-0005-0000-0000-00004B090000}"/>
    <cellStyle name="Comma 4 3 2 3 3 3 2" xfId="14728" xr:uid="{E5CBF211-E7AB-48F5-9DBE-36D8F471E46C}"/>
    <cellStyle name="Comma 4 3 2 3 3 4" xfId="10511" xr:uid="{803FD5A5-7896-4B14-8107-820D130DB69D}"/>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286" xr:uid="{013392EF-C477-44BA-B4DF-F43EF3A6242E}"/>
    <cellStyle name="Comma 4 3 2 3 4 2 3" xfId="13069" xr:uid="{9B1418BF-56AD-4EC1-811E-27839B44844A}"/>
    <cellStyle name="Comma 4 3 2 3 4 3" xfId="5859" xr:uid="{00000000-0005-0000-0000-00004F090000}"/>
    <cellStyle name="Comma 4 3 2 3 4 3 2" xfId="15141" xr:uid="{7ACD556B-7211-4A03-8051-E7BCE18BD9C1}"/>
    <cellStyle name="Comma 4 3 2 3 4 4" xfId="10924" xr:uid="{0F3E70A8-775A-4A76-857B-18402DEAFADE}"/>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699" xr:uid="{8C12A88E-BD1E-480A-B4E0-8098ED636798}"/>
    <cellStyle name="Comma 4 3 2 3 5 2 3" xfId="13482" xr:uid="{A7E70F64-57CC-4678-A62F-ABBC515C1BB1}"/>
    <cellStyle name="Comma 4 3 2 3 5 3" xfId="6272" xr:uid="{00000000-0005-0000-0000-000053090000}"/>
    <cellStyle name="Comma 4 3 2 3 5 3 2" xfId="15554" xr:uid="{6E025A46-4DD6-4E31-9DAA-7DC8F9284F45}"/>
    <cellStyle name="Comma 4 3 2 3 5 4" xfId="11337" xr:uid="{C490B0AA-AB5F-44E0-98E1-E691DBCD6D76}"/>
    <cellStyle name="Comma 4 3 2 3 6" xfId="2401" xr:uid="{00000000-0005-0000-0000-000054090000}"/>
    <cellStyle name="Comma 4 3 2 3 6 2" xfId="6685" xr:uid="{00000000-0005-0000-0000-000055090000}"/>
    <cellStyle name="Comma 4 3 2 3 6 2 2" xfId="15967" xr:uid="{E69EFC11-B090-4118-B7AF-F9AAC12431E6}"/>
    <cellStyle name="Comma 4 3 2 3 6 3" xfId="11750" xr:uid="{A24DE561-6885-42ED-8F4B-2262BEF5C2FA}"/>
    <cellStyle name="Comma 4 3 2 3 7" xfId="2362" xr:uid="{00000000-0005-0000-0000-000056090000}"/>
    <cellStyle name="Comma 4 3 2 3 8" xfId="2779" xr:uid="{00000000-0005-0000-0000-000057090000}"/>
    <cellStyle name="Comma 4 3 2 3 8 2" xfId="7002" xr:uid="{00000000-0005-0000-0000-000058090000}"/>
    <cellStyle name="Comma 4 3 2 3 8 2 2" xfId="16284" xr:uid="{27DA489F-1ECD-4D2A-BB7A-E09B88ABC7A5}"/>
    <cellStyle name="Comma 4 3 2 3 8 3" xfId="12067" xr:uid="{805C65D5-087B-4F88-9E57-3D356356D793}"/>
    <cellStyle name="Comma 4 3 2 3 9" xfId="4619" xr:uid="{00000000-0005-0000-0000-000059090000}"/>
    <cellStyle name="Comma 4 3 2 3 9 2" xfId="13901" xr:uid="{224129B4-4ABA-4111-9ABB-7152C4B3F5B0}"/>
    <cellStyle name="Comma 4 3 2 4" xfId="682" xr:uid="{00000000-0005-0000-0000-00005A090000}"/>
    <cellStyle name="Comma 4 3 2 4 2" xfId="2953" xr:uid="{00000000-0005-0000-0000-00005B090000}"/>
    <cellStyle name="Comma 4 3 2 4 2 2" xfId="7175" xr:uid="{00000000-0005-0000-0000-00005C090000}"/>
    <cellStyle name="Comma 4 3 2 4 2 2 2" xfId="16457" xr:uid="{35BEDD8E-9890-4222-A36F-570469D71492}"/>
    <cellStyle name="Comma 4 3 2 4 2 3" xfId="12240" xr:uid="{2BBD7D0F-764B-48E7-B860-0CE157BBA1A0}"/>
    <cellStyle name="Comma 4 3 2 4 3" xfId="5030" xr:uid="{00000000-0005-0000-0000-00005D090000}"/>
    <cellStyle name="Comma 4 3 2 4 3 2" xfId="14312" xr:uid="{98D618B4-3EDF-45E8-A000-1DD052B8144E}"/>
    <cellStyle name="Comma 4 3 2 4 4" xfId="10095" xr:uid="{5B254150-8CC1-41C5-904C-A4F2AEF7B360}"/>
    <cellStyle name="Comma 4 3 2 4 5" xfId="9265" xr:uid="{A5E439BB-6A5F-4FD3-B1AA-F5EF2FDB0C92}"/>
    <cellStyle name="Comma 4 3 2 5" xfId="1135" xr:uid="{00000000-0005-0000-0000-00005E090000}"/>
    <cellStyle name="Comma 4 3 2 5 2" xfId="3366" xr:uid="{00000000-0005-0000-0000-00005F090000}"/>
    <cellStyle name="Comma 4 3 2 5 2 2" xfId="7588" xr:uid="{00000000-0005-0000-0000-000060090000}"/>
    <cellStyle name="Comma 4 3 2 5 2 2 2" xfId="16870" xr:uid="{438B98FC-D0E4-4F52-B274-CE9909C31025}"/>
    <cellStyle name="Comma 4 3 2 5 2 3" xfId="12653" xr:uid="{8225FFEC-BA40-4530-87BD-799A5DA6166E}"/>
    <cellStyle name="Comma 4 3 2 5 3" xfId="5443" xr:uid="{00000000-0005-0000-0000-000061090000}"/>
    <cellStyle name="Comma 4 3 2 5 3 2" xfId="14725" xr:uid="{23545D5B-818D-41F0-ADED-ABC83E5545E6}"/>
    <cellStyle name="Comma 4 3 2 5 4" xfId="10508" xr:uid="{AB51A682-893B-44F0-A7F6-1247D77FC702}"/>
    <cellStyle name="Comma 4 3 2 6" xfId="1549" xr:uid="{00000000-0005-0000-0000-000062090000}"/>
    <cellStyle name="Comma 4 3 2 6 2" xfId="3779" xr:uid="{00000000-0005-0000-0000-000063090000}"/>
    <cellStyle name="Comma 4 3 2 6 2 2" xfId="8001" xr:uid="{00000000-0005-0000-0000-000064090000}"/>
    <cellStyle name="Comma 4 3 2 6 2 2 2" xfId="17283" xr:uid="{E17E4B71-6F61-48C9-8D83-B130CE336FA0}"/>
    <cellStyle name="Comma 4 3 2 6 2 3" xfId="13066" xr:uid="{0CD6C5FD-F7AB-406C-8D64-02F59B9F8104}"/>
    <cellStyle name="Comma 4 3 2 6 3" xfId="5856" xr:uid="{00000000-0005-0000-0000-000065090000}"/>
    <cellStyle name="Comma 4 3 2 6 3 2" xfId="15138" xr:uid="{07C08A4F-0C59-4B00-A454-40C4B9A1DAD2}"/>
    <cellStyle name="Comma 4 3 2 6 4" xfId="10921" xr:uid="{DD60ADBD-4164-4452-B3E1-70CC1EDE874B}"/>
    <cellStyle name="Comma 4 3 2 7" xfId="1963" xr:uid="{00000000-0005-0000-0000-000066090000}"/>
    <cellStyle name="Comma 4 3 2 7 2" xfId="4192" xr:uid="{00000000-0005-0000-0000-000067090000}"/>
    <cellStyle name="Comma 4 3 2 7 2 2" xfId="8414" xr:uid="{00000000-0005-0000-0000-000068090000}"/>
    <cellStyle name="Comma 4 3 2 7 2 2 2" xfId="17696" xr:uid="{E7A923ED-81E1-494E-9F96-95067F0A2105}"/>
    <cellStyle name="Comma 4 3 2 7 2 3" xfId="13479" xr:uid="{3C031F00-70C7-4DFD-A715-AC9B3C6D3248}"/>
    <cellStyle name="Comma 4 3 2 7 3" xfId="6269" xr:uid="{00000000-0005-0000-0000-000069090000}"/>
    <cellStyle name="Comma 4 3 2 7 3 2" xfId="15551" xr:uid="{C1FAC7CC-D345-4ECF-9B69-DF2432A62E5E}"/>
    <cellStyle name="Comma 4 3 2 7 4" xfId="11334" xr:uid="{DC9DE8CC-C990-4BFD-A19F-009D5E27C984}"/>
    <cellStyle name="Comma 4 3 2 8" xfId="2398" xr:uid="{00000000-0005-0000-0000-00006A090000}"/>
    <cellStyle name="Comma 4 3 2 8 2" xfId="6682" xr:uid="{00000000-0005-0000-0000-00006B090000}"/>
    <cellStyle name="Comma 4 3 2 8 2 2" xfId="15964" xr:uid="{670ACE00-96C1-40D5-9A68-8B1A7BE3E252}"/>
    <cellStyle name="Comma 4 3 2 8 3" xfId="11747" xr:uid="{C88C90BA-BA7E-4175-8163-C77A5E8F84ED}"/>
    <cellStyle name="Comma 4 3 2 9" xfId="2365" xr:uid="{00000000-0005-0000-0000-00006C090000}"/>
    <cellStyle name="Comma 4 3 3" xfId="149" xr:uid="{00000000-0005-0000-0000-00006D090000}"/>
    <cellStyle name="Comma 4 3 3 10" xfId="4620" xr:uid="{00000000-0005-0000-0000-00006E090000}"/>
    <cellStyle name="Comma 4 3 3 10 2" xfId="13902" xr:uid="{8021BB28-771E-4EBF-B404-2803C6214BD9}"/>
    <cellStyle name="Comma 4 3 3 11" xfId="9685" xr:uid="{AC08A87A-E364-436E-8AE1-5E66A8BA6490}"/>
    <cellStyle name="Comma 4 3 3 12" xfId="8852" xr:uid="{02DEDB43-2491-47FD-9D36-27537B7C6184}"/>
    <cellStyle name="Comma 4 3 3 2" xfId="150" xr:uid="{00000000-0005-0000-0000-00006F090000}"/>
    <cellStyle name="Comma 4 3 3 2 10" xfId="9686" xr:uid="{BFFC7ED7-BBC1-4EB6-9CE6-7AD14D5CED59}"/>
    <cellStyle name="Comma 4 3 3 2 11" xfId="8853" xr:uid="{6CD7E514-E10B-48BC-A7CF-1DA31F2DF36E}"/>
    <cellStyle name="Comma 4 3 3 2 2" xfId="687" xr:uid="{00000000-0005-0000-0000-000070090000}"/>
    <cellStyle name="Comma 4 3 3 2 2 2" xfId="2958" xr:uid="{00000000-0005-0000-0000-000071090000}"/>
    <cellStyle name="Comma 4 3 3 2 2 2 2" xfId="7180" xr:uid="{00000000-0005-0000-0000-000072090000}"/>
    <cellStyle name="Comma 4 3 3 2 2 2 2 2" xfId="16462" xr:uid="{6C5466F5-841A-4459-87F3-ADD8AA475E54}"/>
    <cellStyle name="Comma 4 3 3 2 2 2 3" xfId="12245" xr:uid="{B1B707E5-2622-40A9-892D-4574B00D5B77}"/>
    <cellStyle name="Comma 4 3 3 2 2 3" xfId="5035" xr:uid="{00000000-0005-0000-0000-000073090000}"/>
    <cellStyle name="Comma 4 3 3 2 2 3 2" xfId="14317" xr:uid="{A27715AF-E818-4DD9-B8F5-8828F3EBFF99}"/>
    <cellStyle name="Comma 4 3 3 2 2 4" xfId="10100" xr:uid="{3E136C10-FBEF-40DE-A2A7-46D789228955}"/>
    <cellStyle name="Comma 4 3 3 2 2 5" xfId="9270" xr:uid="{5CFC1318-7717-4850-9F10-5B8996FCED76}"/>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875" xr:uid="{252DC581-FC55-40AB-AD67-69D17766685C}"/>
    <cellStyle name="Comma 4 3 3 2 3 2 3" xfId="12658" xr:uid="{8ED1C978-0A57-4D72-84AF-B57B06FAC047}"/>
    <cellStyle name="Comma 4 3 3 2 3 3" xfId="5448" xr:uid="{00000000-0005-0000-0000-000077090000}"/>
    <cellStyle name="Comma 4 3 3 2 3 3 2" xfId="14730" xr:uid="{9C49BEE0-D328-45AE-BFCA-DCE4D536FB45}"/>
    <cellStyle name="Comma 4 3 3 2 3 4" xfId="10513" xr:uid="{EDDE7CA2-FB8F-4523-86C0-C845B48E9A57}"/>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288" xr:uid="{C0CFD1FE-9DBD-4082-BCFB-151D36D54885}"/>
    <cellStyle name="Comma 4 3 3 2 4 2 3" xfId="13071" xr:uid="{6754F7D1-16CD-46C7-B0EC-777605742EA9}"/>
    <cellStyle name="Comma 4 3 3 2 4 3" xfId="5861" xr:uid="{00000000-0005-0000-0000-00007B090000}"/>
    <cellStyle name="Comma 4 3 3 2 4 3 2" xfId="15143" xr:uid="{52952F04-3FE9-49C9-92BC-A7C7316CC0B3}"/>
    <cellStyle name="Comma 4 3 3 2 4 4" xfId="10926" xr:uid="{B4AEF914-EA79-4324-8869-C83C7552C441}"/>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01" xr:uid="{F6739050-665A-4FE8-AD86-ADD505300238}"/>
    <cellStyle name="Comma 4 3 3 2 5 2 3" xfId="13484" xr:uid="{65831003-D1FA-406F-BC9C-1C28DEBE3A40}"/>
    <cellStyle name="Comma 4 3 3 2 5 3" xfId="6274" xr:uid="{00000000-0005-0000-0000-00007F090000}"/>
    <cellStyle name="Comma 4 3 3 2 5 3 2" xfId="15556" xr:uid="{955FF7CB-6497-4947-AF9C-0643D57A17B7}"/>
    <cellStyle name="Comma 4 3 3 2 5 4" xfId="11339" xr:uid="{96F68EDB-B438-4C38-9F58-175C1F29A8B6}"/>
    <cellStyle name="Comma 4 3 3 2 6" xfId="2403" xr:uid="{00000000-0005-0000-0000-000080090000}"/>
    <cellStyle name="Comma 4 3 3 2 6 2" xfId="6687" xr:uid="{00000000-0005-0000-0000-000081090000}"/>
    <cellStyle name="Comma 4 3 3 2 6 2 2" xfId="15969" xr:uid="{85943BED-4323-4DBA-9596-0D06243899D6}"/>
    <cellStyle name="Comma 4 3 3 2 6 3" xfId="11752" xr:uid="{9F520148-7F84-460B-B7D6-86B3DA9B8753}"/>
    <cellStyle name="Comma 4 3 3 2 7" xfId="2360" xr:uid="{00000000-0005-0000-0000-000082090000}"/>
    <cellStyle name="Comma 4 3 3 2 8" xfId="2781" xr:uid="{00000000-0005-0000-0000-000083090000}"/>
    <cellStyle name="Comma 4 3 3 2 8 2" xfId="7004" xr:uid="{00000000-0005-0000-0000-000084090000}"/>
    <cellStyle name="Comma 4 3 3 2 8 2 2" xfId="16286" xr:uid="{D9CEB1E3-D371-4064-829F-CE700C4D91F6}"/>
    <cellStyle name="Comma 4 3 3 2 8 3" xfId="12069" xr:uid="{2D77DE04-7611-4B67-A622-C41B9318B1CD}"/>
    <cellStyle name="Comma 4 3 3 2 9" xfId="4621" xr:uid="{00000000-0005-0000-0000-000085090000}"/>
    <cellStyle name="Comma 4 3 3 2 9 2" xfId="13903" xr:uid="{A0A1352E-E1BE-4B7D-A09E-4641C509387E}"/>
    <cellStyle name="Comma 4 3 3 3" xfId="686" xr:uid="{00000000-0005-0000-0000-000086090000}"/>
    <cellStyle name="Comma 4 3 3 3 2" xfId="2957" xr:uid="{00000000-0005-0000-0000-000087090000}"/>
    <cellStyle name="Comma 4 3 3 3 2 2" xfId="7179" xr:uid="{00000000-0005-0000-0000-000088090000}"/>
    <cellStyle name="Comma 4 3 3 3 2 2 2" xfId="16461" xr:uid="{2C8E7585-3EFC-4BCD-B991-CF4DFC45832B}"/>
    <cellStyle name="Comma 4 3 3 3 2 3" xfId="12244" xr:uid="{9EB05948-4B88-48E2-9ACB-58D698FFBAE6}"/>
    <cellStyle name="Comma 4 3 3 3 3" xfId="5034" xr:uid="{00000000-0005-0000-0000-000089090000}"/>
    <cellStyle name="Comma 4 3 3 3 3 2" xfId="14316" xr:uid="{517957CD-906D-45B7-865F-D9A1FCEDA04B}"/>
    <cellStyle name="Comma 4 3 3 3 4" xfId="10099" xr:uid="{A4B9F2A2-F58B-4875-A868-6730F4A7E781}"/>
    <cellStyle name="Comma 4 3 3 3 5" xfId="9269" xr:uid="{73BE5D75-4B9B-4D49-8C3B-02F578668A4F}"/>
    <cellStyle name="Comma 4 3 3 4" xfId="1139" xr:uid="{00000000-0005-0000-0000-00008A090000}"/>
    <cellStyle name="Comma 4 3 3 4 2" xfId="3370" xr:uid="{00000000-0005-0000-0000-00008B090000}"/>
    <cellStyle name="Comma 4 3 3 4 2 2" xfId="7592" xr:uid="{00000000-0005-0000-0000-00008C090000}"/>
    <cellStyle name="Comma 4 3 3 4 2 2 2" xfId="16874" xr:uid="{51C73382-39A8-4C6C-A0DE-7AF142E06199}"/>
    <cellStyle name="Comma 4 3 3 4 2 3" xfId="12657" xr:uid="{14CCEC2E-367D-4C26-956E-EAF29359531E}"/>
    <cellStyle name="Comma 4 3 3 4 3" xfId="5447" xr:uid="{00000000-0005-0000-0000-00008D090000}"/>
    <cellStyle name="Comma 4 3 3 4 3 2" xfId="14729" xr:uid="{58D49E7A-DF2A-4F88-9603-18AA1435F21D}"/>
    <cellStyle name="Comma 4 3 3 4 4" xfId="10512" xr:uid="{7DE99F9B-257A-4C1C-AD9B-38664EB5EF10}"/>
    <cellStyle name="Comma 4 3 3 5" xfId="1553" xr:uid="{00000000-0005-0000-0000-00008E090000}"/>
    <cellStyle name="Comma 4 3 3 5 2" xfId="3783" xr:uid="{00000000-0005-0000-0000-00008F090000}"/>
    <cellStyle name="Comma 4 3 3 5 2 2" xfId="8005" xr:uid="{00000000-0005-0000-0000-000090090000}"/>
    <cellStyle name="Comma 4 3 3 5 2 2 2" xfId="17287" xr:uid="{AD6647BC-0057-4392-A1F6-047CC4A9494C}"/>
    <cellStyle name="Comma 4 3 3 5 2 3" xfId="13070" xr:uid="{40937D7D-0BCB-4122-9C1A-D99730E9E0BD}"/>
    <cellStyle name="Comma 4 3 3 5 3" xfId="5860" xr:uid="{00000000-0005-0000-0000-000091090000}"/>
    <cellStyle name="Comma 4 3 3 5 3 2" xfId="15142" xr:uid="{C3539805-4A26-48BD-97BB-DED1CC03D0A4}"/>
    <cellStyle name="Comma 4 3 3 5 4" xfId="10925" xr:uid="{ADA9BDBB-DCA3-443E-93F0-983776F60A5C}"/>
    <cellStyle name="Comma 4 3 3 6" xfId="1967" xr:uid="{00000000-0005-0000-0000-000092090000}"/>
    <cellStyle name="Comma 4 3 3 6 2" xfId="4196" xr:uid="{00000000-0005-0000-0000-000093090000}"/>
    <cellStyle name="Comma 4 3 3 6 2 2" xfId="8418" xr:uid="{00000000-0005-0000-0000-000094090000}"/>
    <cellStyle name="Comma 4 3 3 6 2 2 2" xfId="17700" xr:uid="{DAC74CB1-A01A-44E5-9236-1B577529FA9B}"/>
    <cellStyle name="Comma 4 3 3 6 2 3" xfId="13483" xr:uid="{C4F2C131-A8B9-4175-BBF0-E7B671097F03}"/>
    <cellStyle name="Comma 4 3 3 6 3" xfId="6273" xr:uid="{00000000-0005-0000-0000-000095090000}"/>
    <cellStyle name="Comma 4 3 3 6 3 2" xfId="15555" xr:uid="{1ABD1C30-FA0C-476C-B920-244861A10CFB}"/>
    <cellStyle name="Comma 4 3 3 6 4" xfId="11338" xr:uid="{5B7DCDB1-87D2-4029-A59E-C21CB2638C1A}"/>
    <cellStyle name="Comma 4 3 3 7" xfId="2402" xr:uid="{00000000-0005-0000-0000-000096090000}"/>
    <cellStyle name="Comma 4 3 3 7 2" xfId="6686" xr:uid="{00000000-0005-0000-0000-000097090000}"/>
    <cellStyle name="Comma 4 3 3 7 2 2" xfId="15968" xr:uid="{2C29C093-6C9F-4363-8396-0F17C4C0485E}"/>
    <cellStyle name="Comma 4 3 3 7 3" xfId="11751" xr:uid="{C345CD76-05CE-455B-820C-37B45C558B06}"/>
    <cellStyle name="Comma 4 3 3 8" xfId="2361" xr:uid="{00000000-0005-0000-0000-000098090000}"/>
    <cellStyle name="Comma 4 3 3 9" xfId="2780" xr:uid="{00000000-0005-0000-0000-000099090000}"/>
    <cellStyle name="Comma 4 3 3 9 2" xfId="7003" xr:uid="{00000000-0005-0000-0000-00009A090000}"/>
    <cellStyle name="Comma 4 3 3 9 2 2" xfId="16285" xr:uid="{33EEE49E-988F-4D23-891C-97E3E73E63B2}"/>
    <cellStyle name="Comma 4 3 3 9 3" xfId="12068" xr:uid="{91F06824-80B2-4124-B534-CA589EFCE1C4}"/>
    <cellStyle name="Comma 4 3 4" xfId="151" xr:uid="{00000000-0005-0000-0000-00009B090000}"/>
    <cellStyle name="Comma 4 3 4 10" xfId="9687" xr:uid="{55D141D9-9BA6-414D-BE5D-B0329750DAA8}"/>
    <cellStyle name="Comma 4 3 4 11" xfId="8854" xr:uid="{13672590-851F-4F22-B1E8-714616250BD8}"/>
    <cellStyle name="Comma 4 3 4 2" xfId="688" xr:uid="{00000000-0005-0000-0000-00009C090000}"/>
    <cellStyle name="Comma 4 3 4 2 2" xfId="2959" xr:uid="{00000000-0005-0000-0000-00009D090000}"/>
    <cellStyle name="Comma 4 3 4 2 2 2" xfId="7181" xr:uid="{00000000-0005-0000-0000-00009E090000}"/>
    <cellStyle name="Comma 4 3 4 2 2 2 2" xfId="16463" xr:uid="{1E55F22D-4984-4DF0-8180-1D53DEEF58A5}"/>
    <cellStyle name="Comma 4 3 4 2 2 3" xfId="12246" xr:uid="{DF8880DA-ECBC-47E5-A3FC-625F3110F28A}"/>
    <cellStyle name="Comma 4 3 4 2 3" xfId="5036" xr:uid="{00000000-0005-0000-0000-00009F090000}"/>
    <cellStyle name="Comma 4 3 4 2 3 2" xfId="14318" xr:uid="{5E1FC671-5C57-4D0C-ADC2-FAB7C5C46E37}"/>
    <cellStyle name="Comma 4 3 4 2 4" xfId="10101" xr:uid="{6A277668-8A5B-4D45-9C3E-D871AC29FD9C}"/>
    <cellStyle name="Comma 4 3 4 2 5" xfId="9271" xr:uid="{F670F87F-7775-40C3-B4CF-1BDD2A08DD6B}"/>
    <cellStyle name="Comma 4 3 4 3" xfId="1141" xr:uid="{00000000-0005-0000-0000-0000A0090000}"/>
    <cellStyle name="Comma 4 3 4 3 2" xfId="3372" xr:uid="{00000000-0005-0000-0000-0000A1090000}"/>
    <cellStyle name="Comma 4 3 4 3 2 2" xfId="7594" xr:uid="{00000000-0005-0000-0000-0000A2090000}"/>
    <cellStyle name="Comma 4 3 4 3 2 2 2" xfId="16876" xr:uid="{AD861171-2001-43EE-9D79-C367FD6E49F7}"/>
    <cellStyle name="Comma 4 3 4 3 2 3" xfId="12659" xr:uid="{9EB9F599-9716-403E-932D-A659F6C8AE5D}"/>
    <cellStyle name="Comma 4 3 4 3 3" xfId="5449" xr:uid="{00000000-0005-0000-0000-0000A3090000}"/>
    <cellStyle name="Comma 4 3 4 3 3 2" xfId="14731" xr:uid="{F355608D-BFCC-4F05-B151-ECB351B7ACD8}"/>
    <cellStyle name="Comma 4 3 4 3 4" xfId="10514" xr:uid="{0EA09D3D-868E-4D04-A7A2-E486E0BAAF72}"/>
    <cellStyle name="Comma 4 3 4 4" xfId="1555" xr:uid="{00000000-0005-0000-0000-0000A4090000}"/>
    <cellStyle name="Comma 4 3 4 4 2" xfId="3785" xr:uid="{00000000-0005-0000-0000-0000A5090000}"/>
    <cellStyle name="Comma 4 3 4 4 2 2" xfId="8007" xr:uid="{00000000-0005-0000-0000-0000A6090000}"/>
    <cellStyle name="Comma 4 3 4 4 2 2 2" xfId="17289" xr:uid="{9FF55AA7-276F-4C38-A197-BBD645120D76}"/>
    <cellStyle name="Comma 4 3 4 4 2 3" xfId="13072" xr:uid="{7E97DF96-2CA2-44B1-9237-C0647D2A1E1F}"/>
    <cellStyle name="Comma 4 3 4 4 3" xfId="5862" xr:uid="{00000000-0005-0000-0000-0000A7090000}"/>
    <cellStyle name="Comma 4 3 4 4 3 2" xfId="15144" xr:uid="{79E2853E-2180-4193-8660-238A7EF6C00D}"/>
    <cellStyle name="Comma 4 3 4 4 4" xfId="10927" xr:uid="{1E0B70E2-09A7-4B1D-BA9F-32D2EB2DFA14}"/>
    <cellStyle name="Comma 4 3 4 5" xfId="1969" xr:uid="{00000000-0005-0000-0000-0000A8090000}"/>
    <cellStyle name="Comma 4 3 4 5 2" xfId="4198" xr:uid="{00000000-0005-0000-0000-0000A9090000}"/>
    <cellStyle name="Comma 4 3 4 5 2 2" xfId="8420" xr:uid="{00000000-0005-0000-0000-0000AA090000}"/>
    <cellStyle name="Comma 4 3 4 5 2 2 2" xfId="17702" xr:uid="{B6F29B50-758C-4D02-B51E-F96B30EF1FC5}"/>
    <cellStyle name="Comma 4 3 4 5 2 3" xfId="13485" xr:uid="{0A7939BF-16EF-4800-A50B-E2B67ECCF1E1}"/>
    <cellStyle name="Comma 4 3 4 5 3" xfId="6275" xr:uid="{00000000-0005-0000-0000-0000AB090000}"/>
    <cellStyle name="Comma 4 3 4 5 3 2" xfId="15557" xr:uid="{D8AF3151-65F2-4AE5-A3B7-49D0F4CD0A64}"/>
    <cellStyle name="Comma 4 3 4 5 4" xfId="11340" xr:uid="{DE60CFD3-C48A-4DD1-8247-B9B387D150BA}"/>
    <cellStyle name="Comma 4 3 4 6" xfId="2404" xr:uid="{00000000-0005-0000-0000-0000AC090000}"/>
    <cellStyle name="Comma 4 3 4 6 2" xfId="6688" xr:uid="{00000000-0005-0000-0000-0000AD090000}"/>
    <cellStyle name="Comma 4 3 4 6 2 2" xfId="15970" xr:uid="{C9A352FF-4058-47FD-B944-A173A273F7C5}"/>
    <cellStyle name="Comma 4 3 4 6 3" xfId="11753" xr:uid="{21B6583D-A1D5-4022-B69D-4244CA9F0779}"/>
    <cellStyle name="Comma 4 3 4 7" xfId="2700" xr:uid="{00000000-0005-0000-0000-0000AE090000}"/>
    <cellStyle name="Comma 4 3 4 8" xfId="2782" xr:uid="{00000000-0005-0000-0000-0000AF090000}"/>
    <cellStyle name="Comma 4 3 4 8 2" xfId="7005" xr:uid="{00000000-0005-0000-0000-0000B0090000}"/>
    <cellStyle name="Comma 4 3 4 8 2 2" xfId="16287" xr:uid="{F6391C79-3AF4-4BD6-B132-AB00E2A57CE2}"/>
    <cellStyle name="Comma 4 3 4 8 3" xfId="12070" xr:uid="{3FEE683D-B50B-4CF1-8D5E-4CDBEAEB092B}"/>
    <cellStyle name="Comma 4 3 4 9" xfId="4622" xr:uid="{00000000-0005-0000-0000-0000B1090000}"/>
    <cellStyle name="Comma 4 3 4 9 2" xfId="13904" xr:uid="{A4F505DC-DA84-4958-8262-58D10D01FA37}"/>
    <cellStyle name="Comma 4 3 5" xfId="152" xr:uid="{00000000-0005-0000-0000-0000B2090000}"/>
    <cellStyle name="Comma 4 3 5 10" xfId="9688" xr:uid="{4317199D-0015-4D9F-9CE8-E53EE2769977}"/>
    <cellStyle name="Comma 4 3 5 11" xfId="8855" xr:uid="{C6EDFF65-1237-4F1A-995F-EC2BE688D8F7}"/>
    <cellStyle name="Comma 4 3 5 2" xfId="689" xr:uid="{00000000-0005-0000-0000-0000B3090000}"/>
    <cellStyle name="Comma 4 3 5 2 2" xfId="2960" xr:uid="{00000000-0005-0000-0000-0000B4090000}"/>
    <cellStyle name="Comma 4 3 5 2 2 2" xfId="7182" xr:uid="{00000000-0005-0000-0000-0000B5090000}"/>
    <cellStyle name="Comma 4 3 5 2 2 2 2" xfId="16464" xr:uid="{2744FF29-9967-41E0-A46B-ED1B65DF235B}"/>
    <cellStyle name="Comma 4 3 5 2 2 3" xfId="12247" xr:uid="{434A59C1-453E-4C26-8279-CB6B6CFC58CC}"/>
    <cellStyle name="Comma 4 3 5 2 3" xfId="5037" xr:uid="{00000000-0005-0000-0000-0000B6090000}"/>
    <cellStyle name="Comma 4 3 5 2 3 2" xfId="14319" xr:uid="{563B92AE-3785-47A7-9C40-3BD79D12DA1D}"/>
    <cellStyle name="Comma 4 3 5 2 4" xfId="10102" xr:uid="{458BDBC9-9AD0-45A1-9AD7-2CA0D74E50D2}"/>
    <cellStyle name="Comma 4 3 5 2 5" xfId="9272" xr:uid="{B999A017-6B8C-4FC7-BF11-6EEC464105E3}"/>
    <cellStyle name="Comma 4 3 5 3" xfId="1142" xr:uid="{00000000-0005-0000-0000-0000B7090000}"/>
    <cellStyle name="Comma 4 3 5 3 2" xfId="3373" xr:uid="{00000000-0005-0000-0000-0000B8090000}"/>
    <cellStyle name="Comma 4 3 5 3 2 2" xfId="7595" xr:uid="{00000000-0005-0000-0000-0000B9090000}"/>
    <cellStyle name="Comma 4 3 5 3 2 2 2" xfId="16877" xr:uid="{5ABE5A03-6760-4802-865C-4C972A8B922D}"/>
    <cellStyle name="Comma 4 3 5 3 2 3" xfId="12660" xr:uid="{890907C5-89F8-4F1E-AF61-A52284FDBAAD}"/>
    <cellStyle name="Comma 4 3 5 3 3" xfId="5450" xr:uid="{00000000-0005-0000-0000-0000BA090000}"/>
    <cellStyle name="Comma 4 3 5 3 3 2" xfId="14732" xr:uid="{D2A0F1F4-6FBB-4709-B221-EB5567B3E20E}"/>
    <cellStyle name="Comma 4 3 5 3 4" xfId="10515" xr:uid="{242323EF-81A8-4834-B524-B71F5C0A9C87}"/>
    <cellStyle name="Comma 4 3 5 4" xfId="1556" xr:uid="{00000000-0005-0000-0000-0000BB090000}"/>
    <cellStyle name="Comma 4 3 5 4 2" xfId="3786" xr:uid="{00000000-0005-0000-0000-0000BC090000}"/>
    <cellStyle name="Comma 4 3 5 4 2 2" xfId="8008" xr:uid="{00000000-0005-0000-0000-0000BD090000}"/>
    <cellStyle name="Comma 4 3 5 4 2 2 2" xfId="17290" xr:uid="{5726C678-8690-471B-8389-CFD7AB1B6E4D}"/>
    <cellStyle name="Comma 4 3 5 4 2 3" xfId="13073" xr:uid="{2E1492A5-4F75-47A9-B369-A8F973BD19A5}"/>
    <cellStyle name="Comma 4 3 5 4 3" xfId="5863" xr:uid="{00000000-0005-0000-0000-0000BE090000}"/>
    <cellStyle name="Comma 4 3 5 4 3 2" xfId="15145" xr:uid="{167ADFE5-996F-4716-934B-CA16FB52E0C1}"/>
    <cellStyle name="Comma 4 3 5 4 4" xfId="10928" xr:uid="{0AA7E662-C7C2-4572-A6B7-F3244D69FE16}"/>
    <cellStyle name="Comma 4 3 5 5" xfId="1970" xr:uid="{00000000-0005-0000-0000-0000BF090000}"/>
    <cellStyle name="Comma 4 3 5 5 2" xfId="4199" xr:uid="{00000000-0005-0000-0000-0000C0090000}"/>
    <cellStyle name="Comma 4 3 5 5 2 2" xfId="8421" xr:uid="{00000000-0005-0000-0000-0000C1090000}"/>
    <cellStyle name="Comma 4 3 5 5 2 2 2" xfId="17703" xr:uid="{01AACA61-863D-4989-A84F-AE3AA83561BF}"/>
    <cellStyle name="Comma 4 3 5 5 2 3" xfId="13486" xr:uid="{EB94C7F1-BC8C-4900-9FAE-B8F779DD1EE4}"/>
    <cellStyle name="Comma 4 3 5 5 3" xfId="6276" xr:uid="{00000000-0005-0000-0000-0000C2090000}"/>
    <cellStyle name="Comma 4 3 5 5 3 2" xfId="15558" xr:uid="{974F9639-6994-4B09-9E12-2B79D11FE487}"/>
    <cellStyle name="Comma 4 3 5 5 4" xfId="11341" xr:uid="{33ABAD80-67AA-49F1-8467-548FE4A2C2EB}"/>
    <cellStyle name="Comma 4 3 5 6" xfId="2405" xr:uid="{00000000-0005-0000-0000-0000C3090000}"/>
    <cellStyle name="Comma 4 3 5 6 2" xfId="6689" xr:uid="{00000000-0005-0000-0000-0000C4090000}"/>
    <cellStyle name="Comma 4 3 5 6 2 2" xfId="15971" xr:uid="{6913E11E-F51A-4396-B9AD-06E770134269}"/>
    <cellStyle name="Comma 4 3 5 6 3" xfId="11754" xr:uid="{EC599E84-4046-4FBC-992E-8F8230FC20D8}"/>
    <cellStyle name="Comma 4 3 5 7" xfId="2701" xr:uid="{00000000-0005-0000-0000-0000C5090000}"/>
    <cellStyle name="Comma 4 3 5 8" xfId="2783" xr:uid="{00000000-0005-0000-0000-0000C6090000}"/>
    <cellStyle name="Comma 4 3 5 8 2" xfId="7006" xr:uid="{00000000-0005-0000-0000-0000C7090000}"/>
    <cellStyle name="Comma 4 3 5 8 2 2" xfId="16288" xr:uid="{D5C34F27-F6B1-44AD-A868-9E00A2EC92AE}"/>
    <cellStyle name="Comma 4 3 5 8 3" xfId="12071" xr:uid="{DD231DC0-0F9A-4A81-B7FC-41CF039CFC89}"/>
    <cellStyle name="Comma 4 3 5 9" xfId="4623" xr:uid="{00000000-0005-0000-0000-0000C8090000}"/>
    <cellStyle name="Comma 4 3 5 9 2" xfId="13905" xr:uid="{49ECF10B-A429-4DE1-9810-0A0855517F71}"/>
    <cellStyle name="Comma 4 4" xfId="153" xr:uid="{00000000-0005-0000-0000-0000C9090000}"/>
    <cellStyle name="Comma 4 4 10" xfId="2784" xr:uid="{00000000-0005-0000-0000-0000CA090000}"/>
    <cellStyle name="Comma 4 4 10 2" xfId="7007" xr:uid="{00000000-0005-0000-0000-0000CB090000}"/>
    <cellStyle name="Comma 4 4 10 2 2" xfId="16289" xr:uid="{8A3AC29C-BD0C-42FA-B499-B7DD7BC4EC6C}"/>
    <cellStyle name="Comma 4 4 10 3" xfId="12072" xr:uid="{3C6FAF9F-E5AF-4812-897B-65C295E63F65}"/>
    <cellStyle name="Comma 4 4 11" xfId="4624" xr:uid="{00000000-0005-0000-0000-0000CC090000}"/>
    <cellStyle name="Comma 4 4 11 2" xfId="13906" xr:uid="{1A55AF3E-3A88-48FC-AC1F-F0A19D8F2885}"/>
    <cellStyle name="Comma 4 4 12" xfId="9689" xr:uid="{FC268676-B290-4EAD-B1FE-94B8B2FA6D2F}"/>
    <cellStyle name="Comma 4 4 13" xfId="8856" xr:uid="{1907F5CE-4E13-49C1-A895-39F515A461DA}"/>
    <cellStyle name="Comma 4 4 2" xfId="154" xr:uid="{00000000-0005-0000-0000-0000CD090000}"/>
    <cellStyle name="Comma 4 4 2 10" xfId="4625" xr:uid="{00000000-0005-0000-0000-0000CE090000}"/>
    <cellStyle name="Comma 4 4 2 10 2" xfId="13907" xr:uid="{64913F2D-EC8E-4960-866A-E7AC1B44CC49}"/>
    <cellStyle name="Comma 4 4 2 11" xfId="9690" xr:uid="{937FCFB7-0F71-4519-90F7-56C3873BAA6D}"/>
    <cellStyle name="Comma 4 4 2 12" xfId="8857" xr:uid="{8BCFFF29-92B5-4238-9E8F-4071AB18D42F}"/>
    <cellStyle name="Comma 4 4 2 2" xfId="155" xr:uid="{00000000-0005-0000-0000-0000CF090000}"/>
    <cellStyle name="Comma 4 4 2 2 10" xfId="9691" xr:uid="{9E7C7D2A-FB8F-4C83-BA83-986BC430B22F}"/>
    <cellStyle name="Comma 4 4 2 2 11" xfId="8858" xr:uid="{6070940B-F7D9-43E5-903B-5E5754485CCE}"/>
    <cellStyle name="Comma 4 4 2 2 2" xfId="692" xr:uid="{00000000-0005-0000-0000-0000D0090000}"/>
    <cellStyle name="Comma 4 4 2 2 2 2" xfId="2963" xr:uid="{00000000-0005-0000-0000-0000D1090000}"/>
    <cellStyle name="Comma 4 4 2 2 2 2 2" xfId="7185" xr:uid="{00000000-0005-0000-0000-0000D2090000}"/>
    <cellStyle name="Comma 4 4 2 2 2 2 2 2" xfId="16467" xr:uid="{EAD60B20-EBB3-4BE2-99E3-7D6FD1DF643C}"/>
    <cellStyle name="Comma 4 4 2 2 2 2 3" xfId="12250" xr:uid="{D5B5ED6A-8828-4CC2-BC5B-8E4021556680}"/>
    <cellStyle name="Comma 4 4 2 2 2 3" xfId="5040" xr:uid="{00000000-0005-0000-0000-0000D3090000}"/>
    <cellStyle name="Comma 4 4 2 2 2 3 2" xfId="14322" xr:uid="{0441AA30-DD6A-4711-BA3B-9F1C9E0174BC}"/>
    <cellStyle name="Comma 4 4 2 2 2 4" xfId="10105" xr:uid="{E37A60E0-D6E6-4991-8312-FFB1AF508FA9}"/>
    <cellStyle name="Comma 4 4 2 2 2 5" xfId="9275" xr:uid="{71004DF2-BBB6-4A53-AEEF-E41C3392BB56}"/>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880" xr:uid="{8F7F3677-71C6-49F0-AD4D-EA34D49575C8}"/>
    <cellStyle name="Comma 4 4 2 2 3 2 3" xfId="12663" xr:uid="{60DA5E74-50DA-4DB8-913E-5F7CBF234E36}"/>
    <cellStyle name="Comma 4 4 2 2 3 3" xfId="5453" xr:uid="{00000000-0005-0000-0000-0000D7090000}"/>
    <cellStyle name="Comma 4 4 2 2 3 3 2" xfId="14735" xr:uid="{B9032C26-EC8A-4D9E-9660-ABAC1A6C8821}"/>
    <cellStyle name="Comma 4 4 2 2 3 4" xfId="10518" xr:uid="{32A644BF-7837-4282-A2D1-B78C2CF4FF07}"/>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293" xr:uid="{BB377BEE-C3D1-427A-973F-D9FEA5AB0677}"/>
    <cellStyle name="Comma 4 4 2 2 4 2 3" xfId="13076" xr:uid="{69BE215B-E619-47E2-B806-E7A711831BF0}"/>
    <cellStyle name="Comma 4 4 2 2 4 3" xfId="5866" xr:uid="{00000000-0005-0000-0000-0000DB090000}"/>
    <cellStyle name="Comma 4 4 2 2 4 3 2" xfId="15148" xr:uid="{362DF656-F56A-450B-96DD-3083CC31D6DA}"/>
    <cellStyle name="Comma 4 4 2 2 4 4" xfId="10931" xr:uid="{B1A6A246-4BDD-4638-AA6F-5BB6F2B08E40}"/>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06" xr:uid="{A2B69B3E-E34C-4E1B-913A-0BFA4B2A3DE8}"/>
    <cellStyle name="Comma 4 4 2 2 5 2 3" xfId="13489" xr:uid="{019E60D2-0B03-467F-A059-2E6461BBB79E}"/>
    <cellStyle name="Comma 4 4 2 2 5 3" xfId="6279" xr:uid="{00000000-0005-0000-0000-0000DF090000}"/>
    <cellStyle name="Comma 4 4 2 2 5 3 2" xfId="15561" xr:uid="{02512554-CFA8-4886-AC4C-57A08E867E42}"/>
    <cellStyle name="Comma 4 4 2 2 5 4" xfId="11344" xr:uid="{3B0222D3-1DC9-437D-89E8-6C8499F19F0B}"/>
    <cellStyle name="Comma 4 4 2 2 6" xfId="2408" xr:uid="{00000000-0005-0000-0000-0000E0090000}"/>
    <cellStyle name="Comma 4 4 2 2 6 2" xfId="6692" xr:uid="{00000000-0005-0000-0000-0000E1090000}"/>
    <cellStyle name="Comma 4 4 2 2 6 2 2" xfId="15974" xr:uid="{D633CD36-28B9-4E7E-98C0-2FD919BAE3B5}"/>
    <cellStyle name="Comma 4 4 2 2 6 3" xfId="11757" xr:uid="{9D9F1BCE-9B82-45EB-B2B6-221BA196398E}"/>
    <cellStyle name="Comma 4 4 2 2 7" xfId="2704" xr:uid="{00000000-0005-0000-0000-0000E2090000}"/>
    <cellStyle name="Comma 4 4 2 2 8" xfId="2786" xr:uid="{00000000-0005-0000-0000-0000E3090000}"/>
    <cellStyle name="Comma 4 4 2 2 8 2" xfId="7009" xr:uid="{00000000-0005-0000-0000-0000E4090000}"/>
    <cellStyle name="Comma 4 4 2 2 8 2 2" xfId="16291" xr:uid="{360D9121-A209-4528-917C-D6E87E30B21E}"/>
    <cellStyle name="Comma 4 4 2 2 8 3" xfId="12074" xr:uid="{B540EB93-B86B-45B4-AB23-BF6ADDE637FF}"/>
    <cellStyle name="Comma 4 4 2 2 9" xfId="4626" xr:uid="{00000000-0005-0000-0000-0000E5090000}"/>
    <cellStyle name="Comma 4 4 2 2 9 2" xfId="13908" xr:uid="{C6D5F400-F7F5-4239-87CF-53911E91F1B4}"/>
    <cellStyle name="Comma 4 4 2 3" xfId="691" xr:uid="{00000000-0005-0000-0000-0000E6090000}"/>
    <cellStyle name="Comma 4 4 2 3 2" xfId="2962" xr:uid="{00000000-0005-0000-0000-0000E7090000}"/>
    <cellStyle name="Comma 4 4 2 3 2 2" xfId="7184" xr:uid="{00000000-0005-0000-0000-0000E8090000}"/>
    <cellStyle name="Comma 4 4 2 3 2 2 2" xfId="16466" xr:uid="{7A61668D-B838-4DD2-A395-15C009159983}"/>
    <cellStyle name="Comma 4 4 2 3 2 3" xfId="12249" xr:uid="{908C5952-5998-45F0-853F-521B20C1C7E9}"/>
    <cellStyle name="Comma 4 4 2 3 3" xfId="5039" xr:uid="{00000000-0005-0000-0000-0000E9090000}"/>
    <cellStyle name="Comma 4 4 2 3 3 2" xfId="14321" xr:uid="{45D618AA-C131-4BF3-A666-51E049719876}"/>
    <cellStyle name="Comma 4 4 2 3 4" xfId="10104" xr:uid="{F13D49B1-C022-4251-9D41-2C6640D90926}"/>
    <cellStyle name="Comma 4 4 2 3 5" xfId="9274" xr:uid="{5BBDEEA0-203D-4DC7-9AAA-2DBEE98031BD}"/>
    <cellStyle name="Comma 4 4 2 4" xfId="1144" xr:uid="{00000000-0005-0000-0000-0000EA090000}"/>
    <cellStyle name="Comma 4 4 2 4 2" xfId="3375" xr:uid="{00000000-0005-0000-0000-0000EB090000}"/>
    <cellStyle name="Comma 4 4 2 4 2 2" xfId="7597" xr:uid="{00000000-0005-0000-0000-0000EC090000}"/>
    <cellStyle name="Comma 4 4 2 4 2 2 2" xfId="16879" xr:uid="{32F9BCB9-9314-4098-B051-62E85F271DAA}"/>
    <cellStyle name="Comma 4 4 2 4 2 3" xfId="12662" xr:uid="{0B0B819A-D3F8-4AA1-B7C9-16F486E71E74}"/>
    <cellStyle name="Comma 4 4 2 4 3" xfId="5452" xr:uid="{00000000-0005-0000-0000-0000ED090000}"/>
    <cellStyle name="Comma 4 4 2 4 3 2" xfId="14734" xr:uid="{1FE26AFC-800C-4B54-AFCD-264A82081EEC}"/>
    <cellStyle name="Comma 4 4 2 4 4" xfId="10517" xr:uid="{5D4537E7-5127-419E-9014-4221E2A35C58}"/>
    <cellStyle name="Comma 4 4 2 5" xfId="1558" xr:uid="{00000000-0005-0000-0000-0000EE090000}"/>
    <cellStyle name="Comma 4 4 2 5 2" xfId="3788" xr:uid="{00000000-0005-0000-0000-0000EF090000}"/>
    <cellStyle name="Comma 4 4 2 5 2 2" xfId="8010" xr:uid="{00000000-0005-0000-0000-0000F0090000}"/>
    <cellStyle name="Comma 4 4 2 5 2 2 2" xfId="17292" xr:uid="{51E134B0-784C-4225-9BC5-F36F61ABEF57}"/>
    <cellStyle name="Comma 4 4 2 5 2 3" xfId="13075" xr:uid="{052F3A12-6A0E-45BE-A60C-20AB7100D9A1}"/>
    <cellStyle name="Comma 4 4 2 5 3" xfId="5865" xr:uid="{00000000-0005-0000-0000-0000F1090000}"/>
    <cellStyle name="Comma 4 4 2 5 3 2" xfId="15147" xr:uid="{E428796E-6A75-47A8-B917-253F0BC6D602}"/>
    <cellStyle name="Comma 4 4 2 5 4" xfId="10930" xr:uid="{928CB246-6343-473F-822C-CE1CE28CBABA}"/>
    <cellStyle name="Comma 4 4 2 6" xfId="1972" xr:uid="{00000000-0005-0000-0000-0000F2090000}"/>
    <cellStyle name="Comma 4 4 2 6 2" xfId="4201" xr:uid="{00000000-0005-0000-0000-0000F3090000}"/>
    <cellStyle name="Comma 4 4 2 6 2 2" xfId="8423" xr:uid="{00000000-0005-0000-0000-0000F4090000}"/>
    <cellStyle name="Comma 4 4 2 6 2 2 2" xfId="17705" xr:uid="{DE080E42-0E61-4974-A285-16E277143A7A}"/>
    <cellStyle name="Comma 4 4 2 6 2 3" xfId="13488" xr:uid="{D40D3D1D-2EB9-4503-8CD0-527FCBC6D6AB}"/>
    <cellStyle name="Comma 4 4 2 6 3" xfId="6278" xr:uid="{00000000-0005-0000-0000-0000F5090000}"/>
    <cellStyle name="Comma 4 4 2 6 3 2" xfId="15560" xr:uid="{7B1E98BA-1117-4E7C-B07F-B1E7623521DB}"/>
    <cellStyle name="Comma 4 4 2 6 4" xfId="11343" xr:uid="{6D6E8639-D649-4B67-8434-F91CAA0E2E05}"/>
    <cellStyle name="Comma 4 4 2 7" xfId="2407" xr:uid="{00000000-0005-0000-0000-0000F6090000}"/>
    <cellStyle name="Comma 4 4 2 7 2" xfId="6691" xr:uid="{00000000-0005-0000-0000-0000F7090000}"/>
    <cellStyle name="Comma 4 4 2 7 2 2" xfId="15973" xr:uid="{23AC8BA5-FF91-411A-AB47-479EE4E3D2EF}"/>
    <cellStyle name="Comma 4 4 2 7 3" xfId="11756" xr:uid="{96273792-8E85-4DC2-ABDA-A5F09EB867AA}"/>
    <cellStyle name="Comma 4 4 2 8" xfId="2703" xr:uid="{00000000-0005-0000-0000-0000F8090000}"/>
    <cellStyle name="Comma 4 4 2 9" xfId="2785" xr:uid="{00000000-0005-0000-0000-0000F9090000}"/>
    <cellStyle name="Comma 4 4 2 9 2" xfId="7008" xr:uid="{00000000-0005-0000-0000-0000FA090000}"/>
    <cellStyle name="Comma 4 4 2 9 2 2" xfId="16290" xr:uid="{C339901A-F0B3-4A40-9A36-1A0059E83440}"/>
    <cellStyle name="Comma 4 4 2 9 3" xfId="12073" xr:uid="{19FE8917-941D-435D-A10E-534BD795D891}"/>
    <cellStyle name="Comma 4 4 3" xfId="156" xr:uid="{00000000-0005-0000-0000-0000FB090000}"/>
    <cellStyle name="Comma 4 4 3 10" xfId="9692" xr:uid="{6C969F35-A806-486D-A8ED-80B8FA526225}"/>
    <cellStyle name="Comma 4 4 3 11" xfId="8859" xr:uid="{2F0E0FC6-B6BC-4223-944F-C54ACF5D0132}"/>
    <cellStyle name="Comma 4 4 3 2" xfId="693" xr:uid="{00000000-0005-0000-0000-0000FC090000}"/>
    <cellStyle name="Comma 4 4 3 2 2" xfId="2964" xr:uid="{00000000-0005-0000-0000-0000FD090000}"/>
    <cellStyle name="Comma 4 4 3 2 2 2" xfId="7186" xr:uid="{00000000-0005-0000-0000-0000FE090000}"/>
    <cellStyle name="Comma 4 4 3 2 2 2 2" xfId="16468" xr:uid="{FF34A6A0-71E2-48FB-9B68-E6E066B730C3}"/>
    <cellStyle name="Comma 4 4 3 2 2 3" xfId="12251" xr:uid="{01C7D1CC-DD5B-450B-A2FA-0986DE7C9707}"/>
    <cellStyle name="Comma 4 4 3 2 3" xfId="5041" xr:uid="{00000000-0005-0000-0000-0000FF090000}"/>
    <cellStyle name="Comma 4 4 3 2 3 2" xfId="14323" xr:uid="{12C4E04B-572C-4588-A36A-50D4C2725F34}"/>
    <cellStyle name="Comma 4 4 3 2 4" xfId="10106" xr:uid="{20AAF213-3756-4962-A184-E405C77D432A}"/>
    <cellStyle name="Comma 4 4 3 2 5" xfId="9276" xr:uid="{CDAA380B-72B4-41BD-A765-48C273839DF0}"/>
    <cellStyle name="Comma 4 4 3 3" xfId="1146" xr:uid="{00000000-0005-0000-0000-0000000A0000}"/>
    <cellStyle name="Comma 4 4 3 3 2" xfId="3377" xr:uid="{00000000-0005-0000-0000-0000010A0000}"/>
    <cellStyle name="Comma 4 4 3 3 2 2" xfId="7599" xr:uid="{00000000-0005-0000-0000-0000020A0000}"/>
    <cellStyle name="Comma 4 4 3 3 2 2 2" xfId="16881" xr:uid="{94B02650-177A-46D4-BF02-FE6E7F73806A}"/>
    <cellStyle name="Comma 4 4 3 3 2 3" xfId="12664" xr:uid="{868E7DCB-4E51-4FC9-BDE4-7C5934F1C915}"/>
    <cellStyle name="Comma 4 4 3 3 3" xfId="5454" xr:uid="{00000000-0005-0000-0000-0000030A0000}"/>
    <cellStyle name="Comma 4 4 3 3 3 2" xfId="14736" xr:uid="{9E761108-6695-4919-BFCC-727E15F4877C}"/>
    <cellStyle name="Comma 4 4 3 3 4" xfId="10519" xr:uid="{4C48E0CF-84BC-483C-AA6D-48B40730F02E}"/>
    <cellStyle name="Comma 4 4 3 4" xfId="1560" xr:uid="{00000000-0005-0000-0000-0000040A0000}"/>
    <cellStyle name="Comma 4 4 3 4 2" xfId="3790" xr:uid="{00000000-0005-0000-0000-0000050A0000}"/>
    <cellStyle name="Comma 4 4 3 4 2 2" xfId="8012" xr:uid="{00000000-0005-0000-0000-0000060A0000}"/>
    <cellStyle name="Comma 4 4 3 4 2 2 2" xfId="17294" xr:uid="{702F7F10-EDD2-4564-8EF9-09F6EAF327C4}"/>
    <cellStyle name="Comma 4 4 3 4 2 3" xfId="13077" xr:uid="{A2A2B44A-DB0F-420B-AB88-2B5E052C3070}"/>
    <cellStyle name="Comma 4 4 3 4 3" xfId="5867" xr:uid="{00000000-0005-0000-0000-0000070A0000}"/>
    <cellStyle name="Comma 4 4 3 4 3 2" xfId="15149" xr:uid="{D24342D1-6417-4B0D-B0D6-A9B07B2561D0}"/>
    <cellStyle name="Comma 4 4 3 4 4" xfId="10932" xr:uid="{3B5D2BA3-A3D8-461A-B020-AA0E46A46129}"/>
    <cellStyle name="Comma 4 4 3 5" xfId="1974" xr:uid="{00000000-0005-0000-0000-0000080A0000}"/>
    <cellStyle name="Comma 4 4 3 5 2" xfId="4203" xr:uid="{00000000-0005-0000-0000-0000090A0000}"/>
    <cellStyle name="Comma 4 4 3 5 2 2" xfId="8425" xr:uid="{00000000-0005-0000-0000-00000A0A0000}"/>
    <cellStyle name="Comma 4 4 3 5 2 2 2" xfId="17707" xr:uid="{3E00173A-1715-4CA9-8362-0C4EDC6DF8BD}"/>
    <cellStyle name="Comma 4 4 3 5 2 3" xfId="13490" xr:uid="{9B5CA594-5F7A-4401-A3F7-8FA55E7501F6}"/>
    <cellStyle name="Comma 4 4 3 5 3" xfId="6280" xr:uid="{00000000-0005-0000-0000-00000B0A0000}"/>
    <cellStyle name="Comma 4 4 3 5 3 2" xfId="15562" xr:uid="{76E4EAE4-D4DA-4482-81D6-97E63A262D92}"/>
    <cellStyle name="Comma 4 4 3 5 4" xfId="11345" xr:uid="{AD177476-F6B2-4277-A60E-9E5A25B987E9}"/>
    <cellStyle name="Comma 4 4 3 6" xfId="2409" xr:uid="{00000000-0005-0000-0000-00000C0A0000}"/>
    <cellStyle name="Comma 4 4 3 6 2" xfId="6693" xr:uid="{00000000-0005-0000-0000-00000D0A0000}"/>
    <cellStyle name="Comma 4 4 3 6 2 2" xfId="15975" xr:uid="{8310C72E-22F8-4ACF-8C15-8A10525276F9}"/>
    <cellStyle name="Comma 4 4 3 6 3" xfId="11758" xr:uid="{2A11FFC6-8044-4F45-982D-C68EA824F2B4}"/>
    <cellStyle name="Comma 4 4 3 7" xfId="2705" xr:uid="{00000000-0005-0000-0000-00000E0A0000}"/>
    <cellStyle name="Comma 4 4 3 8" xfId="2787" xr:uid="{00000000-0005-0000-0000-00000F0A0000}"/>
    <cellStyle name="Comma 4 4 3 8 2" xfId="7010" xr:uid="{00000000-0005-0000-0000-0000100A0000}"/>
    <cellStyle name="Comma 4 4 3 8 2 2" xfId="16292" xr:uid="{5372CE96-154F-48E9-A7D7-EBFE46239B5E}"/>
    <cellStyle name="Comma 4 4 3 8 3" xfId="12075" xr:uid="{83DAFEA1-B00F-4A65-BC0A-C7C932360E03}"/>
    <cellStyle name="Comma 4 4 3 9" xfId="4627" xr:uid="{00000000-0005-0000-0000-0000110A0000}"/>
    <cellStyle name="Comma 4 4 3 9 2" xfId="13909" xr:uid="{FC01BCE6-176E-4071-973E-1B771BDFB74E}"/>
    <cellStyle name="Comma 4 4 4" xfId="690" xr:uid="{00000000-0005-0000-0000-0000120A0000}"/>
    <cellStyle name="Comma 4 4 4 2" xfId="2961" xr:uid="{00000000-0005-0000-0000-0000130A0000}"/>
    <cellStyle name="Comma 4 4 4 2 2" xfId="7183" xr:uid="{00000000-0005-0000-0000-0000140A0000}"/>
    <cellStyle name="Comma 4 4 4 2 2 2" xfId="16465" xr:uid="{899ECD57-6B1E-4244-AA7F-523E8BE02CDE}"/>
    <cellStyle name="Comma 4 4 4 2 3" xfId="12248" xr:uid="{9FF04004-7069-4DFC-8721-80C1E1BA37EE}"/>
    <cellStyle name="Comma 4 4 4 3" xfId="5038" xr:uid="{00000000-0005-0000-0000-0000150A0000}"/>
    <cellStyle name="Comma 4 4 4 3 2" xfId="14320" xr:uid="{85945B3F-73FC-4FA6-886D-88F9266F8308}"/>
    <cellStyle name="Comma 4 4 4 4" xfId="10103" xr:uid="{B3C56FC7-3332-4C3A-99EB-B7C1DC0A6AEE}"/>
    <cellStyle name="Comma 4 4 4 5" xfId="9273" xr:uid="{93114CC8-9617-410C-867A-14870B6BB76B}"/>
    <cellStyle name="Comma 4 4 5" xfId="1143" xr:uid="{00000000-0005-0000-0000-0000160A0000}"/>
    <cellStyle name="Comma 4 4 5 2" xfId="3374" xr:uid="{00000000-0005-0000-0000-0000170A0000}"/>
    <cellStyle name="Comma 4 4 5 2 2" xfId="7596" xr:uid="{00000000-0005-0000-0000-0000180A0000}"/>
    <cellStyle name="Comma 4 4 5 2 2 2" xfId="16878" xr:uid="{AA686E0E-5E96-4071-8588-85CC4DA69D25}"/>
    <cellStyle name="Comma 4 4 5 2 3" xfId="12661" xr:uid="{5C20F611-1E19-42F6-8074-720E905F62BF}"/>
    <cellStyle name="Comma 4 4 5 3" xfId="5451" xr:uid="{00000000-0005-0000-0000-0000190A0000}"/>
    <cellStyle name="Comma 4 4 5 3 2" xfId="14733" xr:uid="{FF227B42-F200-444E-A366-3CDD4B63D6EB}"/>
    <cellStyle name="Comma 4 4 5 4" xfId="10516" xr:uid="{539C6F3C-7F3A-4072-86BB-6F956D4948A9}"/>
    <cellStyle name="Comma 4 4 6" xfId="1557" xr:uid="{00000000-0005-0000-0000-00001A0A0000}"/>
    <cellStyle name="Comma 4 4 6 2" xfId="3787" xr:uid="{00000000-0005-0000-0000-00001B0A0000}"/>
    <cellStyle name="Comma 4 4 6 2 2" xfId="8009" xr:uid="{00000000-0005-0000-0000-00001C0A0000}"/>
    <cellStyle name="Comma 4 4 6 2 2 2" xfId="17291" xr:uid="{86E43FE8-1FC8-49D2-A545-5A50C7102440}"/>
    <cellStyle name="Comma 4 4 6 2 3" xfId="13074" xr:uid="{CEE25BE9-A8B1-40E9-8359-2D02B167B6A6}"/>
    <cellStyle name="Comma 4 4 6 3" xfId="5864" xr:uid="{00000000-0005-0000-0000-00001D0A0000}"/>
    <cellStyle name="Comma 4 4 6 3 2" xfId="15146" xr:uid="{3329C35B-3CB4-47E0-9587-F6B8DC202951}"/>
    <cellStyle name="Comma 4 4 6 4" xfId="10929" xr:uid="{8ABCEBEA-FF32-440A-82A4-5124F715D5DD}"/>
    <cellStyle name="Comma 4 4 7" xfId="1971" xr:uid="{00000000-0005-0000-0000-00001E0A0000}"/>
    <cellStyle name="Comma 4 4 7 2" xfId="4200" xr:uid="{00000000-0005-0000-0000-00001F0A0000}"/>
    <cellStyle name="Comma 4 4 7 2 2" xfId="8422" xr:uid="{00000000-0005-0000-0000-0000200A0000}"/>
    <cellStyle name="Comma 4 4 7 2 2 2" xfId="17704" xr:uid="{79B19F2B-7244-4B0A-B5D4-0CD45F04F2BC}"/>
    <cellStyle name="Comma 4 4 7 2 3" xfId="13487" xr:uid="{5B55D0C8-0514-46FB-AD4E-124FCA2259DC}"/>
    <cellStyle name="Comma 4 4 7 3" xfId="6277" xr:uid="{00000000-0005-0000-0000-0000210A0000}"/>
    <cellStyle name="Comma 4 4 7 3 2" xfId="15559" xr:uid="{4E2EEDC0-19D3-4F6E-94C1-E5C85750CCE2}"/>
    <cellStyle name="Comma 4 4 7 4" xfId="11342" xr:uid="{FDEDB360-6D97-4336-8925-3B4815897EC8}"/>
    <cellStyle name="Comma 4 4 8" xfId="2406" xr:uid="{00000000-0005-0000-0000-0000220A0000}"/>
    <cellStyle name="Comma 4 4 8 2" xfId="6690" xr:uid="{00000000-0005-0000-0000-0000230A0000}"/>
    <cellStyle name="Comma 4 4 8 2 2" xfId="15972" xr:uid="{961CEF68-10DB-4FDA-8C22-B22A372D35C7}"/>
    <cellStyle name="Comma 4 4 8 3" xfId="11755" xr:uid="{3B3019C1-1E5C-4326-8E3C-8B0AFA241A15}"/>
    <cellStyle name="Comma 4 4 9" xfId="2702" xr:uid="{00000000-0005-0000-0000-0000240A0000}"/>
    <cellStyle name="Comma 4 5" xfId="157" xr:uid="{00000000-0005-0000-0000-0000250A0000}"/>
    <cellStyle name="Comma 4 5 10" xfId="4628" xr:uid="{00000000-0005-0000-0000-0000260A0000}"/>
    <cellStyle name="Comma 4 5 10 2" xfId="13910" xr:uid="{30ED699E-92C3-4DFF-B857-78C537F4CA3F}"/>
    <cellStyle name="Comma 4 5 11" xfId="9693" xr:uid="{FDA518E8-C67F-433F-B9BD-AEB9392F401F}"/>
    <cellStyle name="Comma 4 5 12" xfId="8860" xr:uid="{106F74DA-B6EB-4CB6-8764-2440B99E6311}"/>
    <cellStyle name="Comma 4 5 2" xfId="158" xr:uid="{00000000-0005-0000-0000-0000270A0000}"/>
    <cellStyle name="Comma 4 5 2 10" xfId="9694" xr:uid="{7889ACCD-CA73-4292-BBCC-3CA0D82CC1F1}"/>
    <cellStyle name="Comma 4 5 2 11" xfId="8861" xr:uid="{D45A80FA-ADB8-4040-AE6C-6632CBC6D859}"/>
    <cellStyle name="Comma 4 5 2 2" xfId="695" xr:uid="{00000000-0005-0000-0000-0000280A0000}"/>
    <cellStyle name="Comma 4 5 2 2 2" xfId="2966" xr:uid="{00000000-0005-0000-0000-0000290A0000}"/>
    <cellStyle name="Comma 4 5 2 2 2 2" xfId="7188" xr:uid="{00000000-0005-0000-0000-00002A0A0000}"/>
    <cellStyle name="Comma 4 5 2 2 2 2 2" xfId="16470" xr:uid="{D483BD43-FB20-406D-90B7-584B3CEB3B94}"/>
    <cellStyle name="Comma 4 5 2 2 2 3" xfId="12253" xr:uid="{088B9B1D-38B2-4504-9853-71B624B7A041}"/>
    <cellStyle name="Comma 4 5 2 2 3" xfId="5043" xr:uid="{00000000-0005-0000-0000-00002B0A0000}"/>
    <cellStyle name="Comma 4 5 2 2 3 2" xfId="14325" xr:uid="{83F8E793-CE8D-4A69-B976-EEAC921DF5BB}"/>
    <cellStyle name="Comma 4 5 2 2 4" xfId="10108" xr:uid="{83A799BD-4C43-41FF-B7B0-CDC6BBB0FA63}"/>
    <cellStyle name="Comma 4 5 2 2 5" xfId="9278" xr:uid="{BB64BB4D-74DB-4E96-9C32-C61DB98638CA}"/>
    <cellStyle name="Comma 4 5 2 3" xfId="1148" xr:uid="{00000000-0005-0000-0000-00002C0A0000}"/>
    <cellStyle name="Comma 4 5 2 3 2" xfId="3379" xr:uid="{00000000-0005-0000-0000-00002D0A0000}"/>
    <cellStyle name="Comma 4 5 2 3 2 2" xfId="7601" xr:uid="{00000000-0005-0000-0000-00002E0A0000}"/>
    <cellStyle name="Comma 4 5 2 3 2 2 2" xfId="16883" xr:uid="{462B4311-7BFA-4D31-A2D1-26277F19CB48}"/>
    <cellStyle name="Comma 4 5 2 3 2 3" xfId="12666" xr:uid="{2AB377FF-EC87-4649-938F-6B0D7E6D4C22}"/>
    <cellStyle name="Comma 4 5 2 3 3" xfId="5456" xr:uid="{00000000-0005-0000-0000-00002F0A0000}"/>
    <cellStyle name="Comma 4 5 2 3 3 2" xfId="14738" xr:uid="{D88B173F-CE18-4E33-95A0-8AF444E52A00}"/>
    <cellStyle name="Comma 4 5 2 3 4" xfId="10521" xr:uid="{A7AAE35B-7118-42AA-ACE5-C1A082D1A05F}"/>
    <cellStyle name="Comma 4 5 2 4" xfId="1562" xr:uid="{00000000-0005-0000-0000-0000300A0000}"/>
    <cellStyle name="Comma 4 5 2 4 2" xfId="3792" xr:uid="{00000000-0005-0000-0000-0000310A0000}"/>
    <cellStyle name="Comma 4 5 2 4 2 2" xfId="8014" xr:uid="{00000000-0005-0000-0000-0000320A0000}"/>
    <cellStyle name="Comma 4 5 2 4 2 2 2" xfId="17296" xr:uid="{59041B3D-1F65-4C2E-9129-7515E0645F30}"/>
    <cellStyle name="Comma 4 5 2 4 2 3" xfId="13079" xr:uid="{F4DF6F8E-51F6-46FD-9CA6-3133876EF08B}"/>
    <cellStyle name="Comma 4 5 2 4 3" xfId="5869" xr:uid="{00000000-0005-0000-0000-0000330A0000}"/>
    <cellStyle name="Comma 4 5 2 4 3 2" xfId="15151" xr:uid="{751FE078-D028-4E89-A2F2-FFC2CCFC7223}"/>
    <cellStyle name="Comma 4 5 2 4 4" xfId="10934" xr:uid="{54732EA1-F6F1-4E25-84A6-9CCE0D5E7C46}"/>
    <cellStyle name="Comma 4 5 2 5" xfId="1976" xr:uid="{00000000-0005-0000-0000-0000340A0000}"/>
    <cellStyle name="Comma 4 5 2 5 2" xfId="4205" xr:uid="{00000000-0005-0000-0000-0000350A0000}"/>
    <cellStyle name="Comma 4 5 2 5 2 2" xfId="8427" xr:uid="{00000000-0005-0000-0000-0000360A0000}"/>
    <cellStyle name="Comma 4 5 2 5 2 2 2" xfId="17709" xr:uid="{A6B70F37-6C0F-4ADE-A4BE-B36F432B2348}"/>
    <cellStyle name="Comma 4 5 2 5 2 3" xfId="13492" xr:uid="{45C7AE8D-E1CE-4FC9-97CB-9CF2C47EF214}"/>
    <cellStyle name="Comma 4 5 2 5 3" xfId="6282" xr:uid="{00000000-0005-0000-0000-0000370A0000}"/>
    <cellStyle name="Comma 4 5 2 5 3 2" xfId="15564" xr:uid="{BD6FA35C-9F0B-4197-9E4A-B6B88740CAAF}"/>
    <cellStyle name="Comma 4 5 2 5 4" xfId="11347" xr:uid="{065164BC-CB5F-4306-827F-CC7C6E0E70A7}"/>
    <cellStyle name="Comma 4 5 2 6" xfId="2411" xr:uid="{00000000-0005-0000-0000-0000380A0000}"/>
    <cellStyle name="Comma 4 5 2 6 2" xfId="6695" xr:uid="{00000000-0005-0000-0000-0000390A0000}"/>
    <cellStyle name="Comma 4 5 2 6 2 2" xfId="15977" xr:uid="{E7CB3927-1DAB-49D9-B0FA-DBEB098041A2}"/>
    <cellStyle name="Comma 4 5 2 6 3" xfId="11760" xr:uid="{575BE661-09AB-4F84-8BCA-0E7F80A40769}"/>
    <cellStyle name="Comma 4 5 2 7" xfId="2707" xr:uid="{00000000-0005-0000-0000-00003A0A0000}"/>
    <cellStyle name="Comma 4 5 2 8" xfId="2789" xr:uid="{00000000-0005-0000-0000-00003B0A0000}"/>
    <cellStyle name="Comma 4 5 2 8 2" xfId="7012" xr:uid="{00000000-0005-0000-0000-00003C0A0000}"/>
    <cellStyle name="Comma 4 5 2 8 2 2" xfId="16294" xr:uid="{7B530753-5CB3-44DA-92EB-2C231A273C3B}"/>
    <cellStyle name="Comma 4 5 2 8 3" xfId="12077" xr:uid="{6071C435-F89D-4B1B-B9FC-CD2CF1B8C1CD}"/>
    <cellStyle name="Comma 4 5 2 9" xfId="4629" xr:uid="{00000000-0005-0000-0000-00003D0A0000}"/>
    <cellStyle name="Comma 4 5 2 9 2" xfId="13911" xr:uid="{24734BBB-4975-45B4-AF49-3D1041138C2D}"/>
    <cellStyle name="Comma 4 5 3" xfId="694" xr:uid="{00000000-0005-0000-0000-00003E0A0000}"/>
    <cellStyle name="Comma 4 5 3 2" xfId="2965" xr:uid="{00000000-0005-0000-0000-00003F0A0000}"/>
    <cellStyle name="Comma 4 5 3 2 2" xfId="7187" xr:uid="{00000000-0005-0000-0000-0000400A0000}"/>
    <cellStyle name="Comma 4 5 3 2 2 2" xfId="16469" xr:uid="{D2C7F353-6B07-4D4C-8D4B-0C7936C70A3B}"/>
    <cellStyle name="Comma 4 5 3 2 3" xfId="12252" xr:uid="{8BC25CB6-9E77-444E-A81E-23A16F03B3E3}"/>
    <cellStyle name="Comma 4 5 3 3" xfId="5042" xr:uid="{00000000-0005-0000-0000-0000410A0000}"/>
    <cellStyle name="Comma 4 5 3 3 2" xfId="14324" xr:uid="{E41BCD98-EF33-4996-8A55-C754EF4AB6A8}"/>
    <cellStyle name="Comma 4 5 3 4" xfId="10107" xr:uid="{4A4C5B78-89C9-48DD-AC43-2421065713C0}"/>
    <cellStyle name="Comma 4 5 3 5" xfId="9277" xr:uid="{9969D25C-89B0-4E95-BA2F-8B7116804206}"/>
    <cellStyle name="Comma 4 5 4" xfId="1147" xr:uid="{00000000-0005-0000-0000-0000420A0000}"/>
    <cellStyle name="Comma 4 5 4 2" xfId="3378" xr:uid="{00000000-0005-0000-0000-0000430A0000}"/>
    <cellStyle name="Comma 4 5 4 2 2" xfId="7600" xr:uid="{00000000-0005-0000-0000-0000440A0000}"/>
    <cellStyle name="Comma 4 5 4 2 2 2" xfId="16882" xr:uid="{4EE40340-723C-432D-8396-1FC6CFEF4C71}"/>
    <cellStyle name="Comma 4 5 4 2 3" xfId="12665" xr:uid="{E8192ECF-5A9C-48E5-9C7B-0891A11BAE9A}"/>
    <cellStyle name="Comma 4 5 4 3" xfId="5455" xr:uid="{00000000-0005-0000-0000-0000450A0000}"/>
    <cellStyle name="Comma 4 5 4 3 2" xfId="14737" xr:uid="{19EBCBB8-A8EB-4670-B80C-8AF8E690AA71}"/>
    <cellStyle name="Comma 4 5 4 4" xfId="10520" xr:uid="{67091C78-FCFD-4090-A4E9-FF11BCB7F6F0}"/>
    <cellStyle name="Comma 4 5 5" xfId="1561" xr:uid="{00000000-0005-0000-0000-0000460A0000}"/>
    <cellStyle name="Comma 4 5 5 2" xfId="3791" xr:uid="{00000000-0005-0000-0000-0000470A0000}"/>
    <cellStyle name="Comma 4 5 5 2 2" xfId="8013" xr:uid="{00000000-0005-0000-0000-0000480A0000}"/>
    <cellStyle name="Comma 4 5 5 2 2 2" xfId="17295" xr:uid="{46D7C468-9B1A-48F3-81C1-646569A62B24}"/>
    <cellStyle name="Comma 4 5 5 2 3" xfId="13078" xr:uid="{30CC8D77-0C7F-4156-B8A2-41323FAB94BD}"/>
    <cellStyle name="Comma 4 5 5 3" xfId="5868" xr:uid="{00000000-0005-0000-0000-0000490A0000}"/>
    <cellStyle name="Comma 4 5 5 3 2" xfId="15150" xr:uid="{9AA69F4E-950C-4D91-8884-035AA541819B}"/>
    <cellStyle name="Comma 4 5 5 4" xfId="10933" xr:uid="{98334D0E-3342-4849-BA17-66D498DEBB76}"/>
    <cellStyle name="Comma 4 5 6" xfId="1975" xr:uid="{00000000-0005-0000-0000-00004A0A0000}"/>
    <cellStyle name="Comma 4 5 6 2" xfId="4204" xr:uid="{00000000-0005-0000-0000-00004B0A0000}"/>
    <cellStyle name="Comma 4 5 6 2 2" xfId="8426" xr:uid="{00000000-0005-0000-0000-00004C0A0000}"/>
    <cellStyle name="Comma 4 5 6 2 2 2" xfId="17708" xr:uid="{C68CE911-6DA7-4CF2-B5E8-C27214B365E3}"/>
    <cellStyle name="Comma 4 5 6 2 3" xfId="13491" xr:uid="{5D5CBCB0-52C6-49E3-BDFE-F5B1DC8F0647}"/>
    <cellStyle name="Comma 4 5 6 3" xfId="6281" xr:uid="{00000000-0005-0000-0000-00004D0A0000}"/>
    <cellStyle name="Comma 4 5 6 3 2" xfId="15563" xr:uid="{8FC478C5-72C1-453B-8CC4-5369F444396A}"/>
    <cellStyle name="Comma 4 5 6 4" xfId="11346" xr:uid="{39D37F49-260F-4106-A886-3644261E7FC4}"/>
    <cellStyle name="Comma 4 5 7" xfId="2410" xr:uid="{00000000-0005-0000-0000-00004E0A0000}"/>
    <cellStyle name="Comma 4 5 7 2" xfId="6694" xr:uid="{00000000-0005-0000-0000-00004F0A0000}"/>
    <cellStyle name="Comma 4 5 7 2 2" xfId="15976" xr:uid="{71A24BF4-9893-4F6E-9E6E-5DBA116E0CC5}"/>
    <cellStyle name="Comma 4 5 7 3" xfId="11759" xr:uid="{60EF393E-D03E-4BA1-B6BC-98733A6891D7}"/>
    <cellStyle name="Comma 4 5 8" xfId="2706" xr:uid="{00000000-0005-0000-0000-0000500A0000}"/>
    <cellStyle name="Comma 4 5 9" xfId="2788" xr:uid="{00000000-0005-0000-0000-0000510A0000}"/>
    <cellStyle name="Comma 4 5 9 2" xfId="7011" xr:uid="{00000000-0005-0000-0000-0000520A0000}"/>
    <cellStyle name="Comma 4 5 9 2 2" xfId="16293" xr:uid="{2B5DB327-0720-41C7-AAD6-0D183982D79F}"/>
    <cellStyle name="Comma 4 5 9 3" xfId="12076" xr:uid="{629EFC70-F16D-43CC-9827-65AA03FE2BF1}"/>
    <cellStyle name="Comma 4 6" xfId="159" xr:uid="{00000000-0005-0000-0000-0000530A0000}"/>
    <cellStyle name="Comma 4 6 10" xfId="9695" xr:uid="{350FA56F-F236-48A5-9E8D-692B611E3298}"/>
    <cellStyle name="Comma 4 6 11" xfId="8862" xr:uid="{40F01BBA-248C-4D3F-ABB2-76D0D6BDAFEE}"/>
    <cellStyle name="Comma 4 6 2" xfId="696" xr:uid="{00000000-0005-0000-0000-0000540A0000}"/>
    <cellStyle name="Comma 4 6 2 2" xfId="2967" xr:uid="{00000000-0005-0000-0000-0000550A0000}"/>
    <cellStyle name="Comma 4 6 2 2 2" xfId="7189" xr:uid="{00000000-0005-0000-0000-0000560A0000}"/>
    <cellStyle name="Comma 4 6 2 2 2 2" xfId="16471" xr:uid="{D52E7373-2DA0-4A4A-9613-ADE70DBC7994}"/>
    <cellStyle name="Comma 4 6 2 2 3" xfId="12254" xr:uid="{03373241-F3B5-428A-A8A0-A45F00DCCF92}"/>
    <cellStyle name="Comma 4 6 2 3" xfId="5044" xr:uid="{00000000-0005-0000-0000-0000570A0000}"/>
    <cellStyle name="Comma 4 6 2 3 2" xfId="14326" xr:uid="{BB31AC35-01D8-4BB9-8A52-077666782794}"/>
    <cellStyle name="Comma 4 6 2 4" xfId="10109" xr:uid="{F723DEB2-EE7D-46C4-BB7B-9BA110F73B5D}"/>
    <cellStyle name="Comma 4 6 2 5" xfId="9279" xr:uid="{51EF1BC5-A46F-4CD7-9934-ADA14431D393}"/>
    <cellStyle name="Comma 4 6 3" xfId="1149" xr:uid="{00000000-0005-0000-0000-0000580A0000}"/>
    <cellStyle name="Comma 4 6 3 2" xfId="3380" xr:uid="{00000000-0005-0000-0000-0000590A0000}"/>
    <cellStyle name="Comma 4 6 3 2 2" xfId="7602" xr:uid="{00000000-0005-0000-0000-00005A0A0000}"/>
    <cellStyle name="Comma 4 6 3 2 2 2" xfId="16884" xr:uid="{E6D8BEE1-68DA-4EF5-B40E-37D33CA34155}"/>
    <cellStyle name="Comma 4 6 3 2 3" xfId="12667" xr:uid="{80094C31-27D4-48E9-BC6E-3F9C2CBE3C13}"/>
    <cellStyle name="Comma 4 6 3 3" xfId="5457" xr:uid="{00000000-0005-0000-0000-00005B0A0000}"/>
    <cellStyle name="Comma 4 6 3 3 2" xfId="14739" xr:uid="{A43B9800-D023-4953-A81B-EC005E7A472C}"/>
    <cellStyle name="Comma 4 6 3 4" xfId="10522" xr:uid="{52EBB183-6F43-48BB-818F-7A251EC4A624}"/>
    <cellStyle name="Comma 4 6 4" xfId="1563" xr:uid="{00000000-0005-0000-0000-00005C0A0000}"/>
    <cellStyle name="Comma 4 6 4 2" xfId="3793" xr:uid="{00000000-0005-0000-0000-00005D0A0000}"/>
    <cellStyle name="Comma 4 6 4 2 2" xfId="8015" xr:uid="{00000000-0005-0000-0000-00005E0A0000}"/>
    <cellStyle name="Comma 4 6 4 2 2 2" xfId="17297" xr:uid="{A09B99A5-0795-438A-A4DA-37F6E7A8B721}"/>
    <cellStyle name="Comma 4 6 4 2 3" xfId="13080" xr:uid="{6AF95D5E-6A58-4202-ABAF-3DED158B1995}"/>
    <cellStyle name="Comma 4 6 4 3" xfId="5870" xr:uid="{00000000-0005-0000-0000-00005F0A0000}"/>
    <cellStyle name="Comma 4 6 4 3 2" xfId="15152" xr:uid="{C8684D18-FBDA-4C7A-B1E1-B50A771638D7}"/>
    <cellStyle name="Comma 4 6 4 4" xfId="10935" xr:uid="{34E90F29-A652-44C3-A42A-2B478842932C}"/>
    <cellStyle name="Comma 4 6 5" xfId="1977" xr:uid="{00000000-0005-0000-0000-0000600A0000}"/>
    <cellStyle name="Comma 4 6 5 2" xfId="4206" xr:uid="{00000000-0005-0000-0000-0000610A0000}"/>
    <cellStyle name="Comma 4 6 5 2 2" xfId="8428" xr:uid="{00000000-0005-0000-0000-0000620A0000}"/>
    <cellStyle name="Comma 4 6 5 2 2 2" xfId="17710" xr:uid="{45FACF11-4C11-4C1E-A0C1-91CAB10578D1}"/>
    <cellStyle name="Comma 4 6 5 2 3" xfId="13493" xr:uid="{B3698E82-6E35-473F-94A3-1718203335D6}"/>
    <cellStyle name="Comma 4 6 5 3" xfId="6283" xr:uid="{00000000-0005-0000-0000-0000630A0000}"/>
    <cellStyle name="Comma 4 6 5 3 2" xfId="15565" xr:uid="{20DAEF2C-0D6C-4039-958E-E1767EEA1019}"/>
    <cellStyle name="Comma 4 6 5 4" xfId="11348" xr:uid="{2CB00FBE-34A2-46E8-AA3E-9F00D66D5FF3}"/>
    <cellStyle name="Comma 4 6 6" xfId="2412" xr:uid="{00000000-0005-0000-0000-0000640A0000}"/>
    <cellStyle name="Comma 4 6 6 2" xfId="6696" xr:uid="{00000000-0005-0000-0000-0000650A0000}"/>
    <cellStyle name="Comma 4 6 6 2 2" xfId="15978" xr:uid="{ABB6E6BE-3F0F-469A-A1DA-97E5508A8EB9}"/>
    <cellStyle name="Comma 4 6 6 3" xfId="11761" xr:uid="{85B2E9AB-A2E6-4663-91C2-6B0CB90F5ED1}"/>
    <cellStyle name="Comma 4 6 7" xfId="2708" xr:uid="{00000000-0005-0000-0000-0000660A0000}"/>
    <cellStyle name="Comma 4 6 8" xfId="2790" xr:uid="{00000000-0005-0000-0000-0000670A0000}"/>
    <cellStyle name="Comma 4 6 8 2" xfId="7013" xr:uid="{00000000-0005-0000-0000-0000680A0000}"/>
    <cellStyle name="Comma 4 6 8 2 2" xfId="16295" xr:uid="{EB74DA0C-BD51-4EDE-8072-8BD4643C59D9}"/>
    <cellStyle name="Comma 4 6 8 3" xfId="12078" xr:uid="{CCAD84E4-10C6-4F49-B42D-78531B0C533B}"/>
    <cellStyle name="Comma 4 6 9" xfId="4630" xr:uid="{00000000-0005-0000-0000-0000690A0000}"/>
    <cellStyle name="Comma 4 6 9 2" xfId="13912" xr:uid="{99FC86EB-5BED-4586-A35F-694EC5ECD929}"/>
    <cellStyle name="Comma 4 7" xfId="160" xr:uid="{00000000-0005-0000-0000-00006A0A0000}"/>
    <cellStyle name="Comma 4 7 10" xfId="9696" xr:uid="{5F0CA0FE-67ED-4A73-BBA4-E1D5743D47BB}"/>
    <cellStyle name="Comma 4 7 11" xfId="8863" xr:uid="{5BABB61E-8485-42B3-A845-3E656B2FBDDA}"/>
    <cellStyle name="Comma 4 7 2" xfId="697" xr:uid="{00000000-0005-0000-0000-00006B0A0000}"/>
    <cellStyle name="Comma 4 7 2 2" xfId="2968" xr:uid="{00000000-0005-0000-0000-00006C0A0000}"/>
    <cellStyle name="Comma 4 7 2 2 2" xfId="7190" xr:uid="{00000000-0005-0000-0000-00006D0A0000}"/>
    <cellStyle name="Comma 4 7 2 2 2 2" xfId="16472" xr:uid="{1E3FBECE-1556-4632-931E-4630E77523CE}"/>
    <cellStyle name="Comma 4 7 2 2 3" xfId="12255" xr:uid="{0D85331B-AD5B-48FC-88D9-7D8F2A21E837}"/>
    <cellStyle name="Comma 4 7 2 3" xfId="5045" xr:uid="{00000000-0005-0000-0000-00006E0A0000}"/>
    <cellStyle name="Comma 4 7 2 3 2" xfId="14327" xr:uid="{E2866B1D-ECD0-4FAE-9B5C-A243425DCF26}"/>
    <cellStyle name="Comma 4 7 2 4" xfId="10110" xr:uid="{231C5F7F-D598-412F-9469-43F534D7742A}"/>
    <cellStyle name="Comma 4 7 2 5" xfId="9280" xr:uid="{6499B6DC-DD9A-4971-9A80-365A2E3791B7}"/>
    <cellStyle name="Comma 4 7 3" xfId="1150" xr:uid="{00000000-0005-0000-0000-00006F0A0000}"/>
    <cellStyle name="Comma 4 7 3 2" xfId="3381" xr:uid="{00000000-0005-0000-0000-0000700A0000}"/>
    <cellStyle name="Comma 4 7 3 2 2" xfId="7603" xr:uid="{00000000-0005-0000-0000-0000710A0000}"/>
    <cellStyle name="Comma 4 7 3 2 2 2" xfId="16885" xr:uid="{04B7E2F8-5ED5-4F02-85C8-B2F4C574DD9D}"/>
    <cellStyle name="Comma 4 7 3 2 3" xfId="12668" xr:uid="{7350C350-E480-400E-BFF9-A8042418C30E}"/>
    <cellStyle name="Comma 4 7 3 3" xfId="5458" xr:uid="{00000000-0005-0000-0000-0000720A0000}"/>
    <cellStyle name="Comma 4 7 3 3 2" xfId="14740" xr:uid="{1782A5AE-D8A8-4ED9-92AF-EBB88C5C6667}"/>
    <cellStyle name="Comma 4 7 3 4" xfId="10523" xr:uid="{484931D9-0229-4024-BF37-22BEA83FDC35}"/>
    <cellStyle name="Comma 4 7 4" xfId="1564" xr:uid="{00000000-0005-0000-0000-0000730A0000}"/>
    <cellStyle name="Comma 4 7 4 2" xfId="3794" xr:uid="{00000000-0005-0000-0000-0000740A0000}"/>
    <cellStyle name="Comma 4 7 4 2 2" xfId="8016" xr:uid="{00000000-0005-0000-0000-0000750A0000}"/>
    <cellStyle name="Comma 4 7 4 2 2 2" xfId="17298" xr:uid="{B3AF59F9-35AF-40B5-8D5E-25819688388F}"/>
    <cellStyle name="Comma 4 7 4 2 3" xfId="13081" xr:uid="{F544EE67-74F6-4F44-AB53-F2039105FE4B}"/>
    <cellStyle name="Comma 4 7 4 3" xfId="5871" xr:uid="{00000000-0005-0000-0000-0000760A0000}"/>
    <cellStyle name="Comma 4 7 4 3 2" xfId="15153" xr:uid="{554CC060-2D83-4F41-ADEE-61C14E911558}"/>
    <cellStyle name="Comma 4 7 4 4" xfId="10936" xr:uid="{C7A83283-66DF-403B-BEDC-D096DF683312}"/>
    <cellStyle name="Comma 4 7 5" xfId="1978" xr:uid="{00000000-0005-0000-0000-0000770A0000}"/>
    <cellStyle name="Comma 4 7 5 2" xfId="4207" xr:uid="{00000000-0005-0000-0000-0000780A0000}"/>
    <cellStyle name="Comma 4 7 5 2 2" xfId="8429" xr:uid="{00000000-0005-0000-0000-0000790A0000}"/>
    <cellStyle name="Comma 4 7 5 2 2 2" xfId="17711" xr:uid="{540B8ADE-B3A5-44B6-A3BD-15323ABFD060}"/>
    <cellStyle name="Comma 4 7 5 2 3" xfId="13494" xr:uid="{AC4C7896-1E36-4319-943D-C7ECFB516F89}"/>
    <cellStyle name="Comma 4 7 5 3" xfId="6284" xr:uid="{00000000-0005-0000-0000-00007A0A0000}"/>
    <cellStyle name="Comma 4 7 5 3 2" xfId="15566" xr:uid="{0C6CB449-3575-4838-96E0-AFBB22815226}"/>
    <cellStyle name="Comma 4 7 5 4" xfId="11349" xr:uid="{429D3807-BD2E-411C-8A86-7658969796DF}"/>
    <cellStyle name="Comma 4 7 6" xfId="2413" xr:uid="{00000000-0005-0000-0000-00007B0A0000}"/>
    <cellStyle name="Comma 4 7 6 2" xfId="6697" xr:uid="{00000000-0005-0000-0000-00007C0A0000}"/>
    <cellStyle name="Comma 4 7 6 2 2" xfId="15979" xr:uid="{B26BA779-A94A-489D-8AC1-CBC1FAAAE1D5}"/>
    <cellStyle name="Comma 4 7 6 3" xfId="11762" xr:uid="{8F62AF3B-8804-40A9-A7A9-17A4CD280C95}"/>
    <cellStyle name="Comma 4 7 7" xfId="2709" xr:uid="{00000000-0005-0000-0000-00007D0A0000}"/>
    <cellStyle name="Comma 4 7 8" xfId="2791" xr:uid="{00000000-0005-0000-0000-00007E0A0000}"/>
    <cellStyle name="Comma 4 7 8 2" xfId="7014" xr:uid="{00000000-0005-0000-0000-00007F0A0000}"/>
    <cellStyle name="Comma 4 7 8 2 2" xfId="16296" xr:uid="{C1C5CD4A-9566-48B5-A1A7-A0D54E4169A8}"/>
    <cellStyle name="Comma 4 7 8 3" xfId="12079" xr:uid="{1C3F387A-7CBD-4A2F-A67B-5E75ED4F4036}"/>
    <cellStyle name="Comma 4 7 9" xfId="4631" xr:uid="{00000000-0005-0000-0000-0000800A0000}"/>
    <cellStyle name="Comma 4 7 9 2" xfId="13913" xr:uid="{CE7B6FB0-014F-41B0-AE97-8D1173EF052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3781" xr:uid="{5B111108-862A-409B-B5D4-E8C247069FF8}"/>
    <cellStyle name="Comma 7 3" xfId="9151" xr:uid="{8C8F4E1B-FC8C-4BBC-83FF-8AFD6649739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998" xr:uid="{EAD916C0-A3BC-4FA8-A42B-5B85D33CD5EA}"/>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8014" xr:uid="{88F87367-3F46-4493-A0DB-804E0F2C6126}"/>
    <cellStyle name="Currency 14 3 2 2 2 3" xfId="18011" xr:uid="{464F65B8-5783-4C10-8A02-A738D28DDBEB}"/>
    <cellStyle name="Currency 14 3 2 2 3" xfId="18007" xr:uid="{184C1F28-3A9B-4483-9121-9F7FB02750E7}"/>
    <cellStyle name="Currency 14 3 2 3" xfId="18004" xr:uid="{E056CE4E-467C-49FE-8A7B-7F7A437DC975}"/>
    <cellStyle name="Currency 14 3 3" xfId="18001" xr:uid="{B2C6C131-D20B-4054-918F-9748EAF58789}"/>
    <cellStyle name="Currency 14 4" xfId="13784" xr:uid="{F0BE8059-3C4F-49AE-8047-F80C2089B1A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297" xr:uid="{65ED7A18-FFFB-4373-BCE3-107326B3B167}"/>
    <cellStyle name="Currency 3 2 2 10 3" xfId="12080" xr:uid="{307D7A25-74F9-48D1-B356-4DA6C5C20E67}"/>
    <cellStyle name="Currency 3 2 2 11" xfId="4632" xr:uid="{00000000-0005-0000-0000-0000A50A0000}"/>
    <cellStyle name="Currency 3 2 2 11 2" xfId="13914" xr:uid="{2373ADF5-9D92-44C3-BAF0-BA9137BD5C7E}"/>
    <cellStyle name="Currency 3 2 2 12" xfId="9697" xr:uid="{9B4938C1-49DF-45C7-836E-FD14C41A53EB}"/>
    <cellStyle name="Currency 3 2 2 13" xfId="8864" xr:uid="{7B8FC9C5-261E-4083-B359-DF4F38DF9D49}"/>
    <cellStyle name="Currency 3 2 2 2" xfId="179" xr:uid="{00000000-0005-0000-0000-0000A60A0000}"/>
    <cellStyle name="Currency 3 2 2 2 10" xfId="4633" xr:uid="{00000000-0005-0000-0000-0000A70A0000}"/>
    <cellStyle name="Currency 3 2 2 2 10 2" xfId="13915" xr:uid="{25286DAA-6721-4260-ABFA-7EE1B12D529F}"/>
    <cellStyle name="Currency 3 2 2 2 11" xfId="9698" xr:uid="{FBDBD8FE-1A7B-49E2-9B60-EC634C61C195}"/>
    <cellStyle name="Currency 3 2 2 2 12" xfId="8865" xr:uid="{2E75FDFB-B459-458C-AB7A-C47A46424C9B}"/>
    <cellStyle name="Currency 3 2 2 2 2" xfId="180" xr:uid="{00000000-0005-0000-0000-0000A80A0000}"/>
    <cellStyle name="Currency 3 2 2 2 2 10" xfId="9699" xr:uid="{AEB5994C-975A-4D0F-8098-66FE6D80B50D}"/>
    <cellStyle name="Currency 3 2 2 2 2 11" xfId="8866" xr:uid="{E9AD4BFE-B6F7-4422-80A1-2E1B117D8EB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475" xr:uid="{96F1E67A-44AA-4044-AB48-BA88151A7AB6}"/>
    <cellStyle name="Currency 3 2 2 2 2 2 2 3" xfId="12258" xr:uid="{2BAFF7CC-0387-4E7C-9DD9-383D0E00604D}"/>
    <cellStyle name="Currency 3 2 2 2 2 2 3" xfId="5048" xr:uid="{00000000-0005-0000-0000-0000AC0A0000}"/>
    <cellStyle name="Currency 3 2 2 2 2 2 3 2" xfId="14330" xr:uid="{AFD17045-4588-4629-B831-27D4DB4F2BC0}"/>
    <cellStyle name="Currency 3 2 2 2 2 2 4" xfId="10113" xr:uid="{C3B62835-F6C0-49EE-9CCA-EDE12A10EEE6}"/>
    <cellStyle name="Currency 3 2 2 2 2 2 5" xfId="9283" xr:uid="{D104D44C-9B5C-4F07-92B6-4FCE9B54BF0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888" xr:uid="{96A2B532-4CD8-4951-939C-8C0B15464112}"/>
    <cellStyle name="Currency 3 2 2 2 2 3 2 3" xfId="12671" xr:uid="{207201E1-5546-4EC1-94C4-3BC33C2F2A82}"/>
    <cellStyle name="Currency 3 2 2 2 2 3 3" xfId="5461" xr:uid="{00000000-0005-0000-0000-0000B00A0000}"/>
    <cellStyle name="Currency 3 2 2 2 2 3 3 2" xfId="14743" xr:uid="{0B3E4C6F-30CB-4C05-B657-FEA270DABBB8}"/>
    <cellStyle name="Currency 3 2 2 2 2 3 4" xfId="10526" xr:uid="{434065AA-DCB8-4F9C-9989-78E7B5673385}"/>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01" xr:uid="{8D9E8C54-1316-4560-A376-C0D6E6D1C948}"/>
    <cellStyle name="Currency 3 2 2 2 2 4 2 3" xfId="13084" xr:uid="{3C22388E-B96C-434A-84D2-DE01738CC350}"/>
    <cellStyle name="Currency 3 2 2 2 2 4 3" xfId="5874" xr:uid="{00000000-0005-0000-0000-0000B40A0000}"/>
    <cellStyle name="Currency 3 2 2 2 2 4 3 2" xfId="15156" xr:uid="{CA3FD976-BB93-406E-93AD-580B8CF247DB}"/>
    <cellStyle name="Currency 3 2 2 2 2 4 4" xfId="10939" xr:uid="{F5B52191-F13E-4E8C-AECB-0F7282440826}"/>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14" xr:uid="{5DD5BB52-D058-4472-B62F-F620B0FE43C0}"/>
    <cellStyle name="Currency 3 2 2 2 2 5 2 3" xfId="13497" xr:uid="{6E33FA7B-D979-49B0-A379-65AD44294668}"/>
    <cellStyle name="Currency 3 2 2 2 2 5 3" xfId="6287" xr:uid="{00000000-0005-0000-0000-0000B80A0000}"/>
    <cellStyle name="Currency 3 2 2 2 2 5 3 2" xfId="15569" xr:uid="{DBEBF60B-63C3-4B79-9830-890CA3BC0AB0}"/>
    <cellStyle name="Currency 3 2 2 2 2 5 4" xfId="11352" xr:uid="{D102C1E1-83CA-42B7-A052-6105E414A758}"/>
    <cellStyle name="Currency 3 2 2 2 2 6" xfId="2416" xr:uid="{00000000-0005-0000-0000-0000B90A0000}"/>
    <cellStyle name="Currency 3 2 2 2 2 6 2" xfId="6700" xr:uid="{00000000-0005-0000-0000-0000BA0A0000}"/>
    <cellStyle name="Currency 3 2 2 2 2 6 2 2" xfId="15982" xr:uid="{E6176CD1-3E42-414A-BC76-77181FDA7262}"/>
    <cellStyle name="Currency 3 2 2 2 2 6 3" xfId="11765" xr:uid="{314BCB6B-5344-4B8E-BE43-496079F5A2C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299" xr:uid="{70289262-9EAA-4B8A-810C-99C098C1912F}"/>
    <cellStyle name="Currency 3 2 2 2 2 8 3" xfId="12082" xr:uid="{4A5D81E0-0B94-448C-89FA-5A710E9C793E}"/>
    <cellStyle name="Currency 3 2 2 2 2 9" xfId="4634" xr:uid="{00000000-0005-0000-0000-0000BE0A0000}"/>
    <cellStyle name="Currency 3 2 2 2 2 9 2" xfId="13916" xr:uid="{8D74D8B7-EC66-4FE1-9815-3635A28F66BA}"/>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474" xr:uid="{F05115F2-92BB-49A9-8C5F-52E42ED5451B}"/>
    <cellStyle name="Currency 3 2 2 2 3 2 3" xfId="12257" xr:uid="{B731CA2D-65A1-4960-BC26-D74F624B3BFC}"/>
    <cellStyle name="Currency 3 2 2 2 3 3" xfId="5047" xr:uid="{00000000-0005-0000-0000-0000C20A0000}"/>
    <cellStyle name="Currency 3 2 2 2 3 3 2" xfId="14329" xr:uid="{C6A47DC5-6160-4112-99A7-DBC286E97B30}"/>
    <cellStyle name="Currency 3 2 2 2 3 4" xfId="10112" xr:uid="{8823C54C-F291-46F2-B09F-48FD401DE4F8}"/>
    <cellStyle name="Currency 3 2 2 2 3 5" xfId="9282" xr:uid="{D5674EF2-E95F-41D5-AE08-8DEB10E84BA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887" xr:uid="{A5B1F184-461D-4387-8CBC-506AA0DDE8E7}"/>
    <cellStyle name="Currency 3 2 2 2 4 2 3" xfId="12670" xr:uid="{AED023BC-F9B7-49A4-AA3B-71BB48A62596}"/>
    <cellStyle name="Currency 3 2 2 2 4 3" xfId="5460" xr:uid="{00000000-0005-0000-0000-0000C60A0000}"/>
    <cellStyle name="Currency 3 2 2 2 4 3 2" xfId="14742" xr:uid="{E2CAE223-FA2E-442F-A17A-C5D43440A106}"/>
    <cellStyle name="Currency 3 2 2 2 4 4" xfId="10525" xr:uid="{CC6CEB4C-2AA2-4B69-94A2-3F5956CF6EC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00" xr:uid="{CD5876CB-5D59-4499-8692-128C4383EE7B}"/>
    <cellStyle name="Currency 3 2 2 2 5 2 3" xfId="13083" xr:uid="{2D00B839-2B5B-4644-AA37-BDD5541176E9}"/>
    <cellStyle name="Currency 3 2 2 2 5 3" xfId="5873" xr:uid="{00000000-0005-0000-0000-0000CA0A0000}"/>
    <cellStyle name="Currency 3 2 2 2 5 3 2" xfId="15155" xr:uid="{6606ADF3-F0A0-42A4-978A-BAF5232F04DA}"/>
    <cellStyle name="Currency 3 2 2 2 5 4" xfId="10938" xr:uid="{BE72C0A4-935B-489F-96EF-A78811B8614A}"/>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13" xr:uid="{252851C0-073A-4643-8C79-191A1B06DBF5}"/>
    <cellStyle name="Currency 3 2 2 2 6 2 3" xfId="13496" xr:uid="{851E68F7-58F7-4F13-9B58-1DE948097781}"/>
    <cellStyle name="Currency 3 2 2 2 6 3" xfId="6286" xr:uid="{00000000-0005-0000-0000-0000CE0A0000}"/>
    <cellStyle name="Currency 3 2 2 2 6 3 2" xfId="15568" xr:uid="{04546E97-008B-4385-A17F-1539D3C915EE}"/>
    <cellStyle name="Currency 3 2 2 2 6 4" xfId="11351" xr:uid="{FC45AE92-50C7-4B2F-88FE-FE637EC0C1C3}"/>
    <cellStyle name="Currency 3 2 2 2 7" xfId="2415" xr:uid="{00000000-0005-0000-0000-0000CF0A0000}"/>
    <cellStyle name="Currency 3 2 2 2 7 2" xfId="6699" xr:uid="{00000000-0005-0000-0000-0000D00A0000}"/>
    <cellStyle name="Currency 3 2 2 2 7 2 2" xfId="15981" xr:uid="{7EBB0986-6D08-49CC-8F15-2D43AE55FE1D}"/>
    <cellStyle name="Currency 3 2 2 2 7 3" xfId="11764" xr:uid="{95C174F8-7CE0-410C-B8DC-6E4881C18A53}"/>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298" xr:uid="{44A4CF7E-8DE4-446D-9A9D-B235E65B7A1C}"/>
    <cellStyle name="Currency 3 2 2 2 9 3" xfId="12081" xr:uid="{9BB68557-7539-42A2-8A54-8E2CEA7F64F2}"/>
    <cellStyle name="Currency 3 2 2 3" xfId="181" xr:uid="{00000000-0005-0000-0000-0000D40A0000}"/>
    <cellStyle name="Currency 3 2 2 3 10" xfId="9700" xr:uid="{7218ED0D-B14E-4729-A979-579B196251F6}"/>
    <cellStyle name="Currency 3 2 2 3 11" xfId="8867" xr:uid="{5AF54F09-09A1-408E-B7BF-14DBF590C05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476" xr:uid="{4D790A12-9359-44DF-95A8-991B48956FB6}"/>
    <cellStyle name="Currency 3 2 2 3 2 2 3" xfId="12259" xr:uid="{65206323-3F53-4279-B5F9-A2D0539C9D51}"/>
    <cellStyle name="Currency 3 2 2 3 2 3" xfId="5049" xr:uid="{00000000-0005-0000-0000-0000D80A0000}"/>
    <cellStyle name="Currency 3 2 2 3 2 3 2" xfId="14331" xr:uid="{2D03D905-B5A6-489F-AE0D-A76D2844B547}"/>
    <cellStyle name="Currency 3 2 2 3 2 4" xfId="10114" xr:uid="{DBF44D99-E320-4BF2-8DA2-B97BF4F499C2}"/>
    <cellStyle name="Currency 3 2 2 3 2 5" xfId="9284" xr:uid="{63957F91-1C90-498D-8A36-81B8EB6FA776}"/>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889" xr:uid="{DA3AE9C2-2AA4-438F-A364-4739FCCC93C7}"/>
    <cellStyle name="Currency 3 2 2 3 3 2 3" xfId="12672" xr:uid="{56C6C0F2-CC8D-4F0E-835B-273D9B6BC885}"/>
    <cellStyle name="Currency 3 2 2 3 3 3" xfId="5462" xr:uid="{00000000-0005-0000-0000-0000DC0A0000}"/>
    <cellStyle name="Currency 3 2 2 3 3 3 2" xfId="14744" xr:uid="{EE9F2563-3B02-477B-B484-2AEE5E63FEB7}"/>
    <cellStyle name="Currency 3 2 2 3 3 4" xfId="10527" xr:uid="{9F0DD051-D834-46E8-B381-9FEBA01D29B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02" xr:uid="{C416B017-2C4C-4035-B249-E2C391DD1682}"/>
    <cellStyle name="Currency 3 2 2 3 4 2 3" xfId="13085" xr:uid="{C1F13DE2-3D45-4F02-A7A0-A0B0DF36BDB9}"/>
    <cellStyle name="Currency 3 2 2 3 4 3" xfId="5875" xr:uid="{00000000-0005-0000-0000-0000E00A0000}"/>
    <cellStyle name="Currency 3 2 2 3 4 3 2" xfId="15157" xr:uid="{F0D1C4C6-4BDE-4ADF-950C-C5E01AE74370}"/>
    <cellStyle name="Currency 3 2 2 3 4 4" xfId="10940" xr:uid="{3757C448-E967-4E3F-9106-73EA2405719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15" xr:uid="{38811470-1113-4E57-8F70-2C72ECADC873}"/>
    <cellStyle name="Currency 3 2 2 3 5 2 3" xfId="13498" xr:uid="{66295201-1682-4854-9B73-688AC401BA30}"/>
    <cellStyle name="Currency 3 2 2 3 5 3" xfId="6288" xr:uid="{00000000-0005-0000-0000-0000E40A0000}"/>
    <cellStyle name="Currency 3 2 2 3 5 3 2" xfId="15570" xr:uid="{93F9DBA0-7E69-44A8-A24A-3B50BA75448B}"/>
    <cellStyle name="Currency 3 2 2 3 5 4" xfId="11353" xr:uid="{FA160ABC-8595-4E05-B505-EADB0874C4AF}"/>
    <cellStyle name="Currency 3 2 2 3 6" xfId="2417" xr:uid="{00000000-0005-0000-0000-0000E50A0000}"/>
    <cellStyle name="Currency 3 2 2 3 6 2" xfId="6701" xr:uid="{00000000-0005-0000-0000-0000E60A0000}"/>
    <cellStyle name="Currency 3 2 2 3 6 2 2" xfId="15983" xr:uid="{9AB7390A-1288-4520-BCA1-ED22D4D02820}"/>
    <cellStyle name="Currency 3 2 2 3 6 3" xfId="11766" xr:uid="{EEDCA27C-3E16-435E-8A0D-A193CC39412B}"/>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00" xr:uid="{E572B39A-A119-4126-96E2-550C06492103}"/>
    <cellStyle name="Currency 3 2 2 3 8 3" xfId="12083" xr:uid="{8A97AF64-6869-494F-8035-4421A4EC8AC2}"/>
    <cellStyle name="Currency 3 2 2 3 9" xfId="4635" xr:uid="{00000000-0005-0000-0000-0000EA0A0000}"/>
    <cellStyle name="Currency 3 2 2 3 9 2" xfId="13917" xr:uid="{441BBD02-19A1-49CA-8991-D5F4FC4901D5}"/>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473" xr:uid="{530BD5D5-FFCF-4D2F-A2C0-4B27200974EB}"/>
    <cellStyle name="Currency 3 2 2 4 2 3" xfId="12256" xr:uid="{C40C6192-2E60-4B88-99AD-A865019FFDBB}"/>
    <cellStyle name="Currency 3 2 2 4 3" xfId="5046" xr:uid="{00000000-0005-0000-0000-0000EE0A0000}"/>
    <cellStyle name="Currency 3 2 2 4 3 2" xfId="14328" xr:uid="{AE7DB2AC-11C1-4B0F-91C9-045F4FE85AEA}"/>
    <cellStyle name="Currency 3 2 2 4 4" xfId="10111" xr:uid="{EEF23956-50FD-46B1-B25A-259FEF365025}"/>
    <cellStyle name="Currency 3 2 2 4 5" xfId="9281" xr:uid="{1C6C2EE3-36DC-4E89-98EE-DC82B37A444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886" xr:uid="{C7DE5623-16C1-4CED-B0A2-F79AB3E04590}"/>
    <cellStyle name="Currency 3 2 2 5 2 3" xfId="12669" xr:uid="{D520B95F-AAFD-444F-B8BE-525FC6A271FE}"/>
    <cellStyle name="Currency 3 2 2 5 3" xfId="5459" xr:uid="{00000000-0005-0000-0000-0000F20A0000}"/>
    <cellStyle name="Currency 3 2 2 5 3 2" xfId="14741" xr:uid="{5BB3BCF3-1ED9-4031-A2AB-EB7362D51B36}"/>
    <cellStyle name="Currency 3 2 2 5 4" xfId="10524" xr:uid="{BCA751B5-1E91-47D8-9670-00063DCB9143}"/>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299" xr:uid="{CB47E2AA-78B5-419D-9C83-472F51E6E712}"/>
    <cellStyle name="Currency 3 2 2 6 2 3" xfId="13082" xr:uid="{81F43366-3AC5-4608-AF9F-3B49529CB9ED}"/>
    <cellStyle name="Currency 3 2 2 6 3" xfId="5872" xr:uid="{00000000-0005-0000-0000-0000F60A0000}"/>
    <cellStyle name="Currency 3 2 2 6 3 2" xfId="15154" xr:uid="{27D2924C-C17A-491A-BFC7-E4F70C1F30EB}"/>
    <cellStyle name="Currency 3 2 2 6 4" xfId="10937" xr:uid="{17BB2CCB-F26D-498D-9BE8-089322499DA4}"/>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12" xr:uid="{C8575362-48B5-46DB-BEF3-B6AFFA024B03}"/>
    <cellStyle name="Currency 3 2 2 7 2 3" xfId="13495" xr:uid="{36D5EB4F-9018-4F03-B8CB-243396A31393}"/>
    <cellStyle name="Currency 3 2 2 7 3" xfId="6285" xr:uid="{00000000-0005-0000-0000-0000FA0A0000}"/>
    <cellStyle name="Currency 3 2 2 7 3 2" xfId="15567" xr:uid="{5A9FFC65-CBA7-430B-B0F4-700E2120DDDD}"/>
    <cellStyle name="Currency 3 2 2 7 4" xfId="11350" xr:uid="{F61C6ED7-91F9-44D9-B9C1-C151F0D3084C}"/>
    <cellStyle name="Currency 3 2 2 8" xfId="2414" xr:uid="{00000000-0005-0000-0000-0000FB0A0000}"/>
    <cellStyle name="Currency 3 2 2 8 2" xfId="6698" xr:uid="{00000000-0005-0000-0000-0000FC0A0000}"/>
    <cellStyle name="Currency 3 2 2 8 2 2" xfId="15980" xr:uid="{10D2FB4C-64E1-4B77-B897-C144BEA9C09E}"/>
    <cellStyle name="Currency 3 2 2 8 3" xfId="11763" xr:uid="{142DB736-86A2-4708-87FD-B147608EBF9C}"/>
    <cellStyle name="Currency 3 2 2 9" xfId="2711" xr:uid="{00000000-0005-0000-0000-0000FD0A0000}"/>
    <cellStyle name="Currency 3 2 3" xfId="182" xr:uid="{00000000-0005-0000-0000-0000FE0A0000}"/>
    <cellStyle name="Currency 3 2 3 10" xfId="4636" xr:uid="{00000000-0005-0000-0000-0000FF0A0000}"/>
    <cellStyle name="Currency 3 2 3 10 2" xfId="13918" xr:uid="{B41EF818-14CE-46ED-B33C-0420CBCD566D}"/>
    <cellStyle name="Currency 3 2 3 11" xfId="9701" xr:uid="{4E6CD4D8-9301-4BFB-8CC7-D3FA31FCEEFF}"/>
    <cellStyle name="Currency 3 2 3 12" xfId="8868" xr:uid="{CE46EC1C-02E2-4BDD-A8BD-02F81856E83D}"/>
    <cellStyle name="Currency 3 2 3 2" xfId="183" xr:uid="{00000000-0005-0000-0000-0000000B0000}"/>
    <cellStyle name="Currency 3 2 3 2 10" xfId="9702" xr:uid="{941FFF41-D228-48C7-BF52-AC17148A79F9}"/>
    <cellStyle name="Currency 3 2 3 2 11" xfId="8869" xr:uid="{4B959550-02EE-4C48-A2D9-19806916812E}"/>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478" xr:uid="{28E9FBE3-27B3-473A-835C-525F98C14C37}"/>
    <cellStyle name="Currency 3 2 3 2 2 2 3" xfId="12261" xr:uid="{624E21C2-C391-484C-A762-1FFE769E99A4}"/>
    <cellStyle name="Currency 3 2 3 2 2 3" xfId="5051" xr:uid="{00000000-0005-0000-0000-0000040B0000}"/>
    <cellStyle name="Currency 3 2 3 2 2 3 2" xfId="14333" xr:uid="{0299C0FD-7D36-4CC9-96BC-3400AAEED24A}"/>
    <cellStyle name="Currency 3 2 3 2 2 4" xfId="10116" xr:uid="{8CB99D36-9C40-4DDB-A15F-6F70674E5A8C}"/>
    <cellStyle name="Currency 3 2 3 2 2 5" xfId="9286" xr:uid="{54AD08CB-615A-4A0B-8A81-C492A3A125F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891" xr:uid="{313445E5-87DE-472C-9768-63C97CD5D0EF}"/>
    <cellStyle name="Currency 3 2 3 2 3 2 3" xfId="12674" xr:uid="{7FB23E2A-F230-4150-A898-F991DBB877D9}"/>
    <cellStyle name="Currency 3 2 3 2 3 3" xfId="5464" xr:uid="{00000000-0005-0000-0000-0000080B0000}"/>
    <cellStyle name="Currency 3 2 3 2 3 3 2" xfId="14746" xr:uid="{616809DD-FA1A-4F2E-8C76-602311E542A9}"/>
    <cellStyle name="Currency 3 2 3 2 3 4" xfId="10529" xr:uid="{76A0164B-99C6-4EEC-AC54-B8434B13F921}"/>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04" xr:uid="{36081731-44C7-4CCF-80DF-B122C52E2B3B}"/>
    <cellStyle name="Currency 3 2 3 2 4 2 3" xfId="13087" xr:uid="{CAB27E6E-B49A-43F0-B6A9-E118B0D324E5}"/>
    <cellStyle name="Currency 3 2 3 2 4 3" xfId="5877" xr:uid="{00000000-0005-0000-0000-00000C0B0000}"/>
    <cellStyle name="Currency 3 2 3 2 4 3 2" xfId="15159" xr:uid="{EE573EE3-514D-4E8B-AE56-97B76BA16982}"/>
    <cellStyle name="Currency 3 2 3 2 4 4" xfId="10942" xr:uid="{CF738921-3FCC-4C89-AC1D-4090377FDB51}"/>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17" xr:uid="{C1528811-48EA-4037-B11F-82DA904D7974}"/>
    <cellStyle name="Currency 3 2 3 2 5 2 3" xfId="13500" xr:uid="{6B3A010A-2369-46BF-B9A9-612DE863E139}"/>
    <cellStyle name="Currency 3 2 3 2 5 3" xfId="6290" xr:uid="{00000000-0005-0000-0000-0000100B0000}"/>
    <cellStyle name="Currency 3 2 3 2 5 3 2" xfId="15572" xr:uid="{2E46D3FF-D019-4CF3-A6E7-36E7F253B2C3}"/>
    <cellStyle name="Currency 3 2 3 2 5 4" xfId="11355" xr:uid="{881A9B0F-17DC-45E1-BECE-F0CF5A0A86A5}"/>
    <cellStyle name="Currency 3 2 3 2 6" xfId="2419" xr:uid="{00000000-0005-0000-0000-0000110B0000}"/>
    <cellStyle name="Currency 3 2 3 2 6 2" xfId="6703" xr:uid="{00000000-0005-0000-0000-0000120B0000}"/>
    <cellStyle name="Currency 3 2 3 2 6 2 2" xfId="15985" xr:uid="{F62AE13D-A60A-48AB-9F1E-9335D28D26A7}"/>
    <cellStyle name="Currency 3 2 3 2 6 3" xfId="11768" xr:uid="{4F0D22DB-FF78-4EDE-81C7-10B715FE45F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02" xr:uid="{02403F3D-4E98-42B6-A16E-E074B2EDFFA2}"/>
    <cellStyle name="Currency 3 2 3 2 8 3" xfId="12085" xr:uid="{17BABEF9-79F2-4195-9889-1AC9D2526D49}"/>
    <cellStyle name="Currency 3 2 3 2 9" xfId="4637" xr:uid="{00000000-0005-0000-0000-0000160B0000}"/>
    <cellStyle name="Currency 3 2 3 2 9 2" xfId="13919" xr:uid="{01C3F055-DC49-4623-B73D-F39042B815B1}"/>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477" xr:uid="{F20D7784-DE40-40BF-9FE0-EB3D0889B6C7}"/>
    <cellStyle name="Currency 3 2 3 3 2 3" xfId="12260" xr:uid="{14480949-C41F-424C-A966-E61596DAE2DE}"/>
    <cellStyle name="Currency 3 2 3 3 3" xfId="5050" xr:uid="{00000000-0005-0000-0000-00001A0B0000}"/>
    <cellStyle name="Currency 3 2 3 3 3 2" xfId="14332" xr:uid="{03392B91-D00C-4A6B-8CD9-6DA96C73B4D6}"/>
    <cellStyle name="Currency 3 2 3 3 4" xfId="10115" xr:uid="{8C99E694-70CB-4CF4-AA2C-C50B51A0EAB2}"/>
    <cellStyle name="Currency 3 2 3 3 5" xfId="9285" xr:uid="{D8FADD1A-A267-4147-B2DF-911E1DDEFF9B}"/>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890" xr:uid="{00A93BA8-961D-46DC-A609-C6D5ACA9922F}"/>
    <cellStyle name="Currency 3 2 3 4 2 3" xfId="12673" xr:uid="{FE264D37-3BBB-47DD-B127-1E11BFA748A9}"/>
    <cellStyle name="Currency 3 2 3 4 3" xfId="5463" xr:uid="{00000000-0005-0000-0000-00001E0B0000}"/>
    <cellStyle name="Currency 3 2 3 4 3 2" xfId="14745" xr:uid="{1FE26DE2-3189-407A-8005-98339CA3138C}"/>
    <cellStyle name="Currency 3 2 3 4 4" xfId="10528" xr:uid="{46BEB729-D17C-4903-9FA9-507D6BE3C9D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03" xr:uid="{B19D39FA-7FD3-4456-9D95-404EAE134CD5}"/>
    <cellStyle name="Currency 3 2 3 5 2 3" xfId="13086" xr:uid="{CDE08678-2C90-4E6E-989A-5A4D214C7353}"/>
    <cellStyle name="Currency 3 2 3 5 3" xfId="5876" xr:uid="{00000000-0005-0000-0000-0000220B0000}"/>
    <cellStyle name="Currency 3 2 3 5 3 2" xfId="15158" xr:uid="{9B330335-D3B7-4325-B0AE-B63E628EA974}"/>
    <cellStyle name="Currency 3 2 3 5 4" xfId="10941" xr:uid="{419B964E-7360-4832-8608-63DFC81D01DE}"/>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16" xr:uid="{4FDE839E-E6D0-424C-A43D-77EC09BA1894}"/>
    <cellStyle name="Currency 3 2 3 6 2 3" xfId="13499" xr:uid="{10FB9270-7B4B-4BEA-B1B5-2433926D521A}"/>
    <cellStyle name="Currency 3 2 3 6 3" xfId="6289" xr:uid="{00000000-0005-0000-0000-0000260B0000}"/>
    <cellStyle name="Currency 3 2 3 6 3 2" xfId="15571" xr:uid="{A6399D16-C948-415A-AB08-6DBF5A935A10}"/>
    <cellStyle name="Currency 3 2 3 6 4" xfId="11354" xr:uid="{24CDAD09-EDDC-42EC-9CE8-F01F8270B52B}"/>
    <cellStyle name="Currency 3 2 3 7" xfId="2418" xr:uid="{00000000-0005-0000-0000-0000270B0000}"/>
    <cellStyle name="Currency 3 2 3 7 2" xfId="6702" xr:uid="{00000000-0005-0000-0000-0000280B0000}"/>
    <cellStyle name="Currency 3 2 3 7 2 2" xfId="15984" xr:uid="{D010BEC7-F216-47CD-873F-4EF8B62FE402}"/>
    <cellStyle name="Currency 3 2 3 7 3" xfId="11767" xr:uid="{92C07F6D-C442-425E-9538-73E55B4CB13B}"/>
    <cellStyle name="Currency 3 2 3 8" xfId="2715" xr:uid="{00000000-0005-0000-0000-0000290B0000}"/>
    <cellStyle name="Currency 3 2 3 9" xfId="2796" xr:uid="{00000000-0005-0000-0000-00002A0B0000}"/>
    <cellStyle name="Currency 3 2 3 9 2" xfId="7019" xr:uid="{00000000-0005-0000-0000-00002B0B0000}"/>
    <cellStyle name="Currency 3 2 3 9 2 2" xfId="16301" xr:uid="{3DD9A42D-80B4-4972-9118-73006AE848B6}"/>
    <cellStyle name="Currency 3 2 3 9 3" xfId="12084" xr:uid="{71981561-4C64-4FE0-A50E-FE32E058E962}"/>
    <cellStyle name="Currency 3 2 4" xfId="184" xr:uid="{00000000-0005-0000-0000-00002C0B0000}"/>
    <cellStyle name="Currency 3 2 4 10" xfId="9703" xr:uid="{9E201F18-1560-45ED-8720-89D85F168545}"/>
    <cellStyle name="Currency 3 2 4 11" xfId="8870" xr:uid="{04C14B40-D2FB-47DE-B34E-0B9866E4E6AF}"/>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479" xr:uid="{66549648-4879-4277-888A-AB9459E4C794}"/>
    <cellStyle name="Currency 3 2 4 2 2 3" xfId="12262" xr:uid="{A8A46465-85E1-4FEF-91C0-27E0747CFB3A}"/>
    <cellStyle name="Currency 3 2 4 2 3" xfId="5052" xr:uid="{00000000-0005-0000-0000-0000300B0000}"/>
    <cellStyle name="Currency 3 2 4 2 3 2" xfId="14334" xr:uid="{DF6C2F72-E176-475D-9883-69530B548FBD}"/>
    <cellStyle name="Currency 3 2 4 2 4" xfId="10117" xr:uid="{F7B2A309-FFDD-4509-B373-4B410137BFC3}"/>
    <cellStyle name="Currency 3 2 4 2 5" xfId="9287" xr:uid="{EC3E293B-8C66-492F-B9AC-AF124031086F}"/>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892" xr:uid="{C515B556-8D6E-467F-8486-1D87D73A49E0}"/>
    <cellStyle name="Currency 3 2 4 3 2 3" xfId="12675" xr:uid="{AA0424EE-7D4B-4C73-97D5-DAD9E285C008}"/>
    <cellStyle name="Currency 3 2 4 3 3" xfId="5465" xr:uid="{00000000-0005-0000-0000-0000340B0000}"/>
    <cellStyle name="Currency 3 2 4 3 3 2" xfId="14747" xr:uid="{BC93B67C-34A1-43E9-9A67-AF741A8CFA9C}"/>
    <cellStyle name="Currency 3 2 4 3 4" xfId="10530" xr:uid="{4BD80D53-9129-4A17-8387-121C60AB24E9}"/>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05" xr:uid="{0574F891-24F7-42BD-9EE4-C87F0C199554}"/>
    <cellStyle name="Currency 3 2 4 4 2 3" xfId="13088" xr:uid="{51A9AFA5-77AC-4F05-B5FF-3DC0C11536D9}"/>
    <cellStyle name="Currency 3 2 4 4 3" xfId="5878" xr:uid="{00000000-0005-0000-0000-0000380B0000}"/>
    <cellStyle name="Currency 3 2 4 4 3 2" xfId="15160" xr:uid="{9B113B06-7C82-44A8-9452-B0B071B25787}"/>
    <cellStyle name="Currency 3 2 4 4 4" xfId="10943" xr:uid="{F7E1E241-209F-4AC4-9DAB-7DD55E0D8C9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18" xr:uid="{5C35F416-B146-487F-A70B-BB5CF6A08A06}"/>
    <cellStyle name="Currency 3 2 4 5 2 3" xfId="13501" xr:uid="{7D148891-F830-4218-9950-C45C0A75D978}"/>
    <cellStyle name="Currency 3 2 4 5 3" xfId="6291" xr:uid="{00000000-0005-0000-0000-00003C0B0000}"/>
    <cellStyle name="Currency 3 2 4 5 3 2" xfId="15573" xr:uid="{8C2B8B4A-61F9-4E7D-B601-6ECD1665C2FA}"/>
    <cellStyle name="Currency 3 2 4 5 4" xfId="11356" xr:uid="{D6F3E22D-9C51-4A3C-A90C-329E32B58272}"/>
    <cellStyle name="Currency 3 2 4 6" xfId="2420" xr:uid="{00000000-0005-0000-0000-00003D0B0000}"/>
    <cellStyle name="Currency 3 2 4 6 2" xfId="6704" xr:uid="{00000000-0005-0000-0000-00003E0B0000}"/>
    <cellStyle name="Currency 3 2 4 6 2 2" xfId="15986" xr:uid="{8E0BEDE6-F93E-4856-9E55-6F8A2CFBF93E}"/>
    <cellStyle name="Currency 3 2 4 6 3" xfId="11769" xr:uid="{DBAA9CE1-C884-4EFA-A511-51717E447C30}"/>
    <cellStyle name="Currency 3 2 4 7" xfId="2717" xr:uid="{00000000-0005-0000-0000-00003F0B0000}"/>
    <cellStyle name="Currency 3 2 4 8" xfId="2798" xr:uid="{00000000-0005-0000-0000-0000400B0000}"/>
    <cellStyle name="Currency 3 2 4 8 2" xfId="7021" xr:uid="{00000000-0005-0000-0000-0000410B0000}"/>
    <cellStyle name="Currency 3 2 4 8 2 2" xfId="16303" xr:uid="{03CDE166-DED7-44BA-B8C5-64DD03A5CC32}"/>
    <cellStyle name="Currency 3 2 4 8 3" xfId="12086" xr:uid="{107861B0-C4CD-4A19-BEE0-BD14F27216E1}"/>
    <cellStyle name="Currency 3 2 4 9" xfId="4638" xr:uid="{00000000-0005-0000-0000-0000420B0000}"/>
    <cellStyle name="Currency 3 2 4 9 2" xfId="13920" xr:uid="{00621590-F869-4D3C-A7D4-E73ABDD95B30}"/>
    <cellStyle name="Currency 3 2 5" xfId="185" xr:uid="{00000000-0005-0000-0000-0000430B0000}"/>
    <cellStyle name="Currency 3 2 5 10" xfId="9704" xr:uid="{4EE3BE20-2B69-41B3-A499-DCF0E9A0DA7F}"/>
    <cellStyle name="Currency 3 2 5 11" xfId="8871" xr:uid="{47FA5B6D-5987-4F39-955F-8790CE49D4DF}"/>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480" xr:uid="{190E4E6D-8705-4AD5-B2A8-877243EEFDBA}"/>
    <cellStyle name="Currency 3 2 5 2 2 3" xfId="12263" xr:uid="{D00BAECC-B5B9-4FC3-B550-9F5B8606577E}"/>
    <cellStyle name="Currency 3 2 5 2 3" xfId="5053" xr:uid="{00000000-0005-0000-0000-0000470B0000}"/>
    <cellStyle name="Currency 3 2 5 2 3 2" xfId="14335" xr:uid="{93DB89ED-053C-4370-BF3E-6A73581E59A2}"/>
    <cellStyle name="Currency 3 2 5 2 4" xfId="10118" xr:uid="{04DE453F-39ED-4C4B-A818-079E7B11AC12}"/>
    <cellStyle name="Currency 3 2 5 2 5" xfId="9288" xr:uid="{2F223597-18BA-4218-88F0-90BD0E380B94}"/>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893" xr:uid="{AEC554CA-0530-4270-8DDA-B4ED32F6D4B2}"/>
    <cellStyle name="Currency 3 2 5 3 2 3" xfId="12676" xr:uid="{BBB5716D-9589-44D1-90D6-D44534746239}"/>
    <cellStyle name="Currency 3 2 5 3 3" xfId="5466" xr:uid="{00000000-0005-0000-0000-00004B0B0000}"/>
    <cellStyle name="Currency 3 2 5 3 3 2" xfId="14748" xr:uid="{1A327193-8304-47A3-8B5F-F49EE0ECF7FD}"/>
    <cellStyle name="Currency 3 2 5 3 4" xfId="10531" xr:uid="{EF5BE05F-31E8-4CE3-B067-B405CF6F93E9}"/>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06" xr:uid="{CBC66F07-96B0-49D2-A2E7-0F797154423D}"/>
    <cellStyle name="Currency 3 2 5 4 2 3" xfId="13089" xr:uid="{54ED26DF-6AF3-447D-9C78-3223790E74C1}"/>
    <cellStyle name="Currency 3 2 5 4 3" xfId="5879" xr:uid="{00000000-0005-0000-0000-00004F0B0000}"/>
    <cellStyle name="Currency 3 2 5 4 3 2" xfId="15161" xr:uid="{D09718C0-89D9-4C1C-BEF0-E134333474DC}"/>
    <cellStyle name="Currency 3 2 5 4 4" xfId="10944" xr:uid="{7B65AF44-C54C-4FE9-A311-DFEAA4B4FE2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19" xr:uid="{82E44CA0-FD2F-468D-8C20-6EBCB1DFE2CC}"/>
    <cellStyle name="Currency 3 2 5 5 2 3" xfId="13502" xr:uid="{AA1F6631-D8BC-442A-9D3D-96B3E0E116EF}"/>
    <cellStyle name="Currency 3 2 5 5 3" xfId="6292" xr:uid="{00000000-0005-0000-0000-0000530B0000}"/>
    <cellStyle name="Currency 3 2 5 5 3 2" xfId="15574" xr:uid="{891ABC76-8939-4D38-B386-7DD6E2B666B7}"/>
    <cellStyle name="Currency 3 2 5 5 4" xfId="11357" xr:uid="{C4E11122-D734-44CC-9EA1-177E6EC12CC5}"/>
    <cellStyle name="Currency 3 2 5 6" xfId="2421" xr:uid="{00000000-0005-0000-0000-0000540B0000}"/>
    <cellStyle name="Currency 3 2 5 6 2" xfId="6705" xr:uid="{00000000-0005-0000-0000-0000550B0000}"/>
    <cellStyle name="Currency 3 2 5 6 2 2" xfId="15987" xr:uid="{AEFA40FD-5002-4B8D-9070-709954516F99}"/>
    <cellStyle name="Currency 3 2 5 6 3" xfId="11770" xr:uid="{C755B7D1-836E-422F-9B3C-326638AC25D3}"/>
    <cellStyle name="Currency 3 2 5 7" xfId="2718" xr:uid="{00000000-0005-0000-0000-0000560B0000}"/>
    <cellStyle name="Currency 3 2 5 8" xfId="2799" xr:uid="{00000000-0005-0000-0000-0000570B0000}"/>
    <cellStyle name="Currency 3 2 5 8 2" xfId="7022" xr:uid="{00000000-0005-0000-0000-0000580B0000}"/>
    <cellStyle name="Currency 3 2 5 8 2 2" xfId="16304" xr:uid="{F9355657-9D69-4725-8178-9F53D2403FC6}"/>
    <cellStyle name="Currency 3 2 5 8 3" xfId="12087" xr:uid="{5C4AAD74-F266-4031-A943-21CE0E73DA2D}"/>
    <cellStyle name="Currency 3 2 5 9" xfId="4639" xr:uid="{00000000-0005-0000-0000-0000590B0000}"/>
    <cellStyle name="Currency 3 2 5 9 2" xfId="13921" xr:uid="{DC16B647-D48F-42CA-8944-0152E072DE4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05" xr:uid="{7EC17AEA-AF26-4363-B034-916261901EDD}"/>
    <cellStyle name="Currency 5 2 2 2 10 3" xfId="12088" xr:uid="{891118AF-6FD7-4D2D-949A-71DE478567C6}"/>
    <cellStyle name="Currency 5 2 2 2 11" xfId="4640" xr:uid="{00000000-0005-0000-0000-00006C0B0000}"/>
    <cellStyle name="Currency 5 2 2 2 11 2" xfId="13922" xr:uid="{BB49A711-ADF0-4022-A7FD-48DE6A3EEA73}"/>
    <cellStyle name="Currency 5 2 2 2 12" xfId="9705" xr:uid="{2DDFC5A9-60B7-4743-BC8E-9BADE5302F65}"/>
    <cellStyle name="Currency 5 2 2 2 13" xfId="8872" xr:uid="{B66BFF0B-1951-47FE-BBEA-0768D71FCCD0}"/>
    <cellStyle name="Currency 5 2 2 2 2" xfId="197" xr:uid="{00000000-0005-0000-0000-00006D0B0000}"/>
    <cellStyle name="Currency 5 2 2 2 2 10" xfId="4641" xr:uid="{00000000-0005-0000-0000-00006E0B0000}"/>
    <cellStyle name="Currency 5 2 2 2 2 10 2" xfId="13923" xr:uid="{B99526AA-F73E-4E1E-950F-54FE9212DC56}"/>
    <cellStyle name="Currency 5 2 2 2 2 11" xfId="9706" xr:uid="{75FFD00A-4A5D-4A73-8D4D-E868098B3047}"/>
    <cellStyle name="Currency 5 2 2 2 2 12" xfId="8873" xr:uid="{CCF7B2B0-5749-426E-9476-B1472B7EE581}"/>
    <cellStyle name="Currency 5 2 2 2 2 2" xfId="198" xr:uid="{00000000-0005-0000-0000-00006F0B0000}"/>
    <cellStyle name="Currency 5 2 2 2 2 2 10" xfId="9707" xr:uid="{483C3C75-A38C-499F-89A8-2951472A5889}"/>
    <cellStyle name="Currency 5 2 2 2 2 2 11" xfId="8874" xr:uid="{C87AB772-4FA8-4BE9-AB7C-ECC50B8D839C}"/>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483" xr:uid="{49479934-E546-4765-A8AE-9FDCB7CEAFD8}"/>
    <cellStyle name="Currency 5 2 2 2 2 2 2 2 3" xfId="12266" xr:uid="{B6DA32CA-27E4-4E55-A03F-2622973D04D3}"/>
    <cellStyle name="Currency 5 2 2 2 2 2 2 3" xfId="5056" xr:uid="{00000000-0005-0000-0000-0000730B0000}"/>
    <cellStyle name="Currency 5 2 2 2 2 2 2 3 2" xfId="14338" xr:uid="{60FBCD47-F754-4FCD-B6D8-94EB4A34F0E8}"/>
    <cellStyle name="Currency 5 2 2 2 2 2 2 4" xfId="10121" xr:uid="{EBC0F60E-17D8-4F0C-A4A2-681AA293DE42}"/>
    <cellStyle name="Currency 5 2 2 2 2 2 2 5" xfId="9291" xr:uid="{2B8053C0-8F17-4E65-829B-2B70FD64B885}"/>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896" xr:uid="{CAEB69AC-F24F-4232-81AA-A44C22748B05}"/>
    <cellStyle name="Currency 5 2 2 2 2 2 3 2 3" xfId="12679" xr:uid="{18912350-3D30-40E6-B7D1-E6F76E128938}"/>
    <cellStyle name="Currency 5 2 2 2 2 2 3 3" xfId="5469" xr:uid="{00000000-0005-0000-0000-0000770B0000}"/>
    <cellStyle name="Currency 5 2 2 2 2 2 3 3 2" xfId="14751" xr:uid="{B2DF955B-A805-45E1-99DF-66BF6920C0F2}"/>
    <cellStyle name="Currency 5 2 2 2 2 2 3 4" xfId="10534" xr:uid="{8AAC88CD-1DBF-4FD0-A6F9-3AC272FB3E2A}"/>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09" xr:uid="{BFA2F856-EF48-4AFB-9184-168776248312}"/>
    <cellStyle name="Currency 5 2 2 2 2 2 4 2 3" xfId="13092" xr:uid="{33E60F81-CCCA-4484-8A97-5FA2016E7E71}"/>
    <cellStyle name="Currency 5 2 2 2 2 2 4 3" xfId="5882" xr:uid="{00000000-0005-0000-0000-00007B0B0000}"/>
    <cellStyle name="Currency 5 2 2 2 2 2 4 3 2" xfId="15164" xr:uid="{43874DA0-2B8F-4725-9F6C-05704BA0E7FB}"/>
    <cellStyle name="Currency 5 2 2 2 2 2 4 4" xfId="10947" xr:uid="{565A5B46-4B47-46C7-94C8-0BF7B6EF0DB7}"/>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22" xr:uid="{37D9D7DC-43C9-4E1A-841E-F3B001379DCA}"/>
    <cellStyle name="Currency 5 2 2 2 2 2 5 2 3" xfId="13505" xr:uid="{90ADF59E-FF6F-432E-8F12-8F4A2C7AF5AC}"/>
    <cellStyle name="Currency 5 2 2 2 2 2 5 3" xfId="6295" xr:uid="{00000000-0005-0000-0000-00007F0B0000}"/>
    <cellStyle name="Currency 5 2 2 2 2 2 5 3 2" xfId="15577" xr:uid="{80F90AFD-F06D-46F5-ADAF-203F1BE59A1C}"/>
    <cellStyle name="Currency 5 2 2 2 2 2 5 4" xfId="11360" xr:uid="{702ADD42-4C2C-476C-B0C6-D20F96C320F3}"/>
    <cellStyle name="Currency 5 2 2 2 2 2 6" xfId="2424" xr:uid="{00000000-0005-0000-0000-0000800B0000}"/>
    <cellStyle name="Currency 5 2 2 2 2 2 6 2" xfId="6708" xr:uid="{00000000-0005-0000-0000-0000810B0000}"/>
    <cellStyle name="Currency 5 2 2 2 2 2 6 2 2" xfId="15990" xr:uid="{908CAE23-3626-45E2-A934-250E0E46CCD9}"/>
    <cellStyle name="Currency 5 2 2 2 2 2 6 3" xfId="11773" xr:uid="{E034A5E9-A5CD-4A36-9871-FAF9D6E234F6}"/>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07" xr:uid="{3813A208-3D1F-4283-BEC1-A4DA13AEF2E5}"/>
    <cellStyle name="Currency 5 2 2 2 2 2 8 3" xfId="12090" xr:uid="{DB02F56D-9413-441C-B322-B41A26622E24}"/>
    <cellStyle name="Currency 5 2 2 2 2 2 9" xfId="4642" xr:uid="{00000000-0005-0000-0000-0000850B0000}"/>
    <cellStyle name="Currency 5 2 2 2 2 2 9 2" xfId="13924" xr:uid="{E312D149-D931-4D6D-9F2F-2E2DF68EDBF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482" xr:uid="{F69F129F-3F66-49C5-96E1-82EB7E2EA278}"/>
    <cellStyle name="Currency 5 2 2 2 2 3 2 3" xfId="12265" xr:uid="{018F7E22-83B3-43C0-AE97-C36E8BD39F8F}"/>
    <cellStyle name="Currency 5 2 2 2 2 3 3" xfId="5055" xr:uid="{00000000-0005-0000-0000-0000890B0000}"/>
    <cellStyle name="Currency 5 2 2 2 2 3 3 2" xfId="14337" xr:uid="{3BB0E582-64B1-40FE-A47A-CB5D9A947D16}"/>
    <cellStyle name="Currency 5 2 2 2 2 3 4" xfId="10120" xr:uid="{9E50C5E6-7CC7-4AD4-BBED-987EF20B2EED}"/>
    <cellStyle name="Currency 5 2 2 2 2 3 5" xfId="9290" xr:uid="{6297907C-E986-431B-B6FB-7777A0E8658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895" xr:uid="{5643A396-09FC-486D-BA3F-C9E31CA89529}"/>
    <cellStyle name="Currency 5 2 2 2 2 4 2 3" xfId="12678" xr:uid="{2817B716-C272-4059-AA99-351B25F452E5}"/>
    <cellStyle name="Currency 5 2 2 2 2 4 3" xfId="5468" xr:uid="{00000000-0005-0000-0000-00008D0B0000}"/>
    <cellStyle name="Currency 5 2 2 2 2 4 3 2" xfId="14750" xr:uid="{6C729398-AEFC-46DC-8080-A0890881E49F}"/>
    <cellStyle name="Currency 5 2 2 2 2 4 4" xfId="10533" xr:uid="{F5A7821D-C40F-494A-9FFB-C29440F1BACD}"/>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08" xr:uid="{1B0CD1C7-6D33-4F41-848B-C28308F0AEE3}"/>
    <cellStyle name="Currency 5 2 2 2 2 5 2 3" xfId="13091" xr:uid="{139C193B-BFFA-4F96-8DF0-00B30804F470}"/>
    <cellStyle name="Currency 5 2 2 2 2 5 3" xfId="5881" xr:uid="{00000000-0005-0000-0000-0000910B0000}"/>
    <cellStyle name="Currency 5 2 2 2 2 5 3 2" xfId="15163" xr:uid="{7FFAE44E-E30C-448D-AF86-CA65C808267E}"/>
    <cellStyle name="Currency 5 2 2 2 2 5 4" xfId="10946" xr:uid="{BA64AFB5-8938-4E25-9C4E-29A3854BC54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21" xr:uid="{26C83C19-79D5-4F04-A778-0ABF02727695}"/>
    <cellStyle name="Currency 5 2 2 2 2 6 2 3" xfId="13504" xr:uid="{4E37C982-C09F-4508-B45E-55AD2C32DC90}"/>
    <cellStyle name="Currency 5 2 2 2 2 6 3" xfId="6294" xr:uid="{00000000-0005-0000-0000-0000950B0000}"/>
    <cellStyle name="Currency 5 2 2 2 2 6 3 2" xfId="15576" xr:uid="{FCF9AC18-32CB-4E87-845B-985E29DDA535}"/>
    <cellStyle name="Currency 5 2 2 2 2 6 4" xfId="11359" xr:uid="{989B1409-B2EC-4270-9039-E5C77D742497}"/>
    <cellStyle name="Currency 5 2 2 2 2 7" xfId="2423" xr:uid="{00000000-0005-0000-0000-0000960B0000}"/>
    <cellStyle name="Currency 5 2 2 2 2 7 2" xfId="6707" xr:uid="{00000000-0005-0000-0000-0000970B0000}"/>
    <cellStyle name="Currency 5 2 2 2 2 7 2 2" xfId="15989" xr:uid="{3D1F3DEA-1AB1-4D53-B79B-45B8C438C9F1}"/>
    <cellStyle name="Currency 5 2 2 2 2 7 3" xfId="11772" xr:uid="{8E1AA5D5-0D46-4E3A-8A98-19EB92533D6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06" xr:uid="{45BD8B1D-36F9-4BBF-A2A9-8BE603A32174}"/>
    <cellStyle name="Currency 5 2 2 2 2 9 3" xfId="12089" xr:uid="{94AD9749-6596-4EC4-9DF6-C93662A34EA4}"/>
    <cellStyle name="Currency 5 2 2 2 3" xfId="199" xr:uid="{00000000-0005-0000-0000-00009B0B0000}"/>
    <cellStyle name="Currency 5 2 2 2 3 10" xfId="9708" xr:uid="{DBA320E9-C7AD-4D53-8A20-B0CB863EB2C1}"/>
    <cellStyle name="Currency 5 2 2 2 3 11" xfId="8875" xr:uid="{281B56B7-FA3C-4E37-8054-A0E901FC4B4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484" xr:uid="{EEC781EE-1AAD-46DC-AA15-BBA04D15C14B}"/>
    <cellStyle name="Currency 5 2 2 2 3 2 2 3" xfId="12267" xr:uid="{73B4F7D5-F1A0-4921-ACD7-F310B818E0C3}"/>
    <cellStyle name="Currency 5 2 2 2 3 2 3" xfId="5057" xr:uid="{00000000-0005-0000-0000-00009F0B0000}"/>
    <cellStyle name="Currency 5 2 2 2 3 2 3 2" xfId="14339" xr:uid="{183FA5A4-64CC-4B18-8040-E4E30FB7F3B7}"/>
    <cellStyle name="Currency 5 2 2 2 3 2 4" xfId="10122" xr:uid="{1828C145-5672-4DE1-8B55-E2797B9CE5F7}"/>
    <cellStyle name="Currency 5 2 2 2 3 2 5" xfId="9292" xr:uid="{A242E607-3BE2-4F6C-8CC7-680C1DD571CB}"/>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897" xr:uid="{976FEBE8-33E5-4F04-B38C-5499F53C0FE5}"/>
    <cellStyle name="Currency 5 2 2 2 3 3 2 3" xfId="12680" xr:uid="{D9907684-3F39-48B9-BC4E-8304ADA7C356}"/>
    <cellStyle name="Currency 5 2 2 2 3 3 3" xfId="5470" xr:uid="{00000000-0005-0000-0000-0000A30B0000}"/>
    <cellStyle name="Currency 5 2 2 2 3 3 3 2" xfId="14752" xr:uid="{4E25F814-D896-4BF2-91D3-E3ABDFDE14BF}"/>
    <cellStyle name="Currency 5 2 2 2 3 3 4" xfId="10535" xr:uid="{C00241CF-464A-4900-B50A-EB73465F3B25}"/>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10" xr:uid="{A9553E9A-03E4-4523-98D6-5CC89A6C8953}"/>
    <cellStyle name="Currency 5 2 2 2 3 4 2 3" xfId="13093" xr:uid="{D7FABF5E-6E30-4A0A-9FF0-7949A1943ABE}"/>
    <cellStyle name="Currency 5 2 2 2 3 4 3" xfId="5883" xr:uid="{00000000-0005-0000-0000-0000A70B0000}"/>
    <cellStyle name="Currency 5 2 2 2 3 4 3 2" xfId="15165" xr:uid="{A2C3DCA5-D8A0-4E7F-A2CE-054FC9AA3C88}"/>
    <cellStyle name="Currency 5 2 2 2 3 4 4" xfId="10948" xr:uid="{F451C8DD-436D-4671-826E-FC2F6146B3D7}"/>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23" xr:uid="{A5F7803B-CD8C-4A09-B057-3BE0A1E85ABD}"/>
    <cellStyle name="Currency 5 2 2 2 3 5 2 3" xfId="13506" xr:uid="{46E0F19C-CDBE-4D07-B798-01519B0209D6}"/>
    <cellStyle name="Currency 5 2 2 2 3 5 3" xfId="6296" xr:uid="{00000000-0005-0000-0000-0000AB0B0000}"/>
    <cellStyle name="Currency 5 2 2 2 3 5 3 2" xfId="15578" xr:uid="{31CAC4FC-E248-4C02-B610-8E22EBF127BF}"/>
    <cellStyle name="Currency 5 2 2 2 3 5 4" xfId="11361" xr:uid="{2FF37DDB-408E-4E36-9412-2E9B737103C7}"/>
    <cellStyle name="Currency 5 2 2 2 3 6" xfId="2425" xr:uid="{00000000-0005-0000-0000-0000AC0B0000}"/>
    <cellStyle name="Currency 5 2 2 2 3 6 2" xfId="6709" xr:uid="{00000000-0005-0000-0000-0000AD0B0000}"/>
    <cellStyle name="Currency 5 2 2 2 3 6 2 2" xfId="15991" xr:uid="{79AE529D-7394-48D2-B1D6-EA5AC32968FF}"/>
    <cellStyle name="Currency 5 2 2 2 3 6 3" xfId="11774" xr:uid="{E3CFF63D-1E82-467C-9081-376BA315DEE6}"/>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08" xr:uid="{97044FF2-368D-4851-8E7C-9267FE6910A3}"/>
    <cellStyle name="Currency 5 2 2 2 3 8 3" xfId="12091" xr:uid="{503D11D2-1EDB-4EB0-A53B-32E2A41CC155}"/>
    <cellStyle name="Currency 5 2 2 2 3 9" xfId="4643" xr:uid="{00000000-0005-0000-0000-0000B10B0000}"/>
    <cellStyle name="Currency 5 2 2 2 3 9 2" xfId="13925" xr:uid="{E57A4DFF-3A04-447F-BF86-61C20325B9E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481" xr:uid="{9C210AAD-50C6-4F5B-8FA6-20517E50B909}"/>
    <cellStyle name="Currency 5 2 2 2 4 2 3" xfId="12264" xr:uid="{1489DBD0-CFD4-43DF-BB49-DFDD0306A0E6}"/>
    <cellStyle name="Currency 5 2 2 2 4 3" xfId="5054" xr:uid="{00000000-0005-0000-0000-0000B50B0000}"/>
    <cellStyle name="Currency 5 2 2 2 4 3 2" xfId="14336" xr:uid="{FD093E80-271C-4B39-8379-4DDAADAC40D5}"/>
    <cellStyle name="Currency 5 2 2 2 4 4" xfId="10119" xr:uid="{EBD3D739-9858-4111-AC48-82C79790447A}"/>
    <cellStyle name="Currency 5 2 2 2 4 5" xfId="9289" xr:uid="{E6706D40-F2F2-4BF6-BE48-7A475DD0C9A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894" xr:uid="{EFE7286A-E807-4791-BEF6-E08FFCA078B5}"/>
    <cellStyle name="Currency 5 2 2 2 5 2 3" xfId="12677" xr:uid="{52D64549-4ADB-448E-BBE7-E2926CF2C72F}"/>
    <cellStyle name="Currency 5 2 2 2 5 3" xfId="5467" xr:uid="{00000000-0005-0000-0000-0000B90B0000}"/>
    <cellStyle name="Currency 5 2 2 2 5 3 2" xfId="14749" xr:uid="{51AAE0BA-7E3B-43E2-9F43-623A157BBF71}"/>
    <cellStyle name="Currency 5 2 2 2 5 4" xfId="10532" xr:uid="{54F79115-7B00-4659-B746-C3DE2DEC661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07" xr:uid="{0D1B95EC-36F7-40DC-820C-AD1C5298097A}"/>
    <cellStyle name="Currency 5 2 2 2 6 2 3" xfId="13090" xr:uid="{318E1D81-4247-45CD-8A65-77021628D730}"/>
    <cellStyle name="Currency 5 2 2 2 6 3" xfId="5880" xr:uid="{00000000-0005-0000-0000-0000BD0B0000}"/>
    <cellStyle name="Currency 5 2 2 2 6 3 2" xfId="15162" xr:uid="{63617439-6838-45FB-A1B4-C2BC13237D4E}"/>
    <cellStyle name="Currency 5 2 2 2 6 4" xfId="10945" xr:uid="{AFE37C83-73E4-4725-B4CE-3ECDF062ED57}"/>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20" xr:uid="{49251A09-E75F-4B98-83A0-2FAAEA69FF78}"/>
    <cellStyle name="Currency 5 2 2 2 7 2 3" xfId="13503" xr:uid="{594D7A5B-F7D8-457F-9E1B-58A77BA1618E}"/>
    <cellStyle name="Currency 5 2 2 2 7 3" xfId="6293" xr:uid="{00000000-0005-0000-0000-0000C10B0000}"/>
    <cellStyle name="Currency 5 2 2 2 7 3 2" xfId="15575" xr:uid="{6B065FBC-4D86-4F2F-B051-258FF6489096}"/>
    <cellStyle name="Currency 5 2 2 2 7 4" xfId="11358" xr:uid="{7AC92CB3-BBA2-40F4-A4A4-B4F889306783}"/>
    <cellStyle name="Currency 5 2 2 2 8" xfId="2422" xr:uid="{00000000-0005-0000-0000-0000C20B0000}"/>
    <cellStyle name="Currency 5 2 2 2 8 2" xfId="6706" xr:uid="{00000000-0005-0000-0000-0000C30B0000}"/>
    <cellStyle name="Currency 5 2 2 2 8 2 2" xfId="15988" xr:uid="{F14A1C28-B527-47D8-9A2A-A98ED2EE094A}"/>
    <cellStyle name="Currency 5 2 2 2 8 3" xfId="11771" xr:uid="{A3E2096E-B586-45BE-99E1-8A07AFAE402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26" xr:uid="{A3E07949-B94F-40EB-8927-9AB777014A8F}"/>
    <cellStyle name="Currency 5 2 2 3 11" xfId="9709" xr:uid="{12B47682-1D41-45B7-BC42-C69177555441}"/>
    <cellStyle name="Currency 5 2 2 3 12" xfId="8876" xr:uid="{7845B1DD-F894-4777-8A26-1853A097E143}"/>
    <cellStyle name="Currency 5 2 2 3 2" xfId="201" xr:uid="{00000000-0005-0000-0000-0000C70B0000}"/>
    <cellStyle name="Currency 5 2 2 3 2 10" xfId="9710" xr:uid="{D95BFE2E-5624-4B20-807F-648D8F10BC41}"/>
    <cellStyle name="Currency 5 2 2 3 2 11" xfId="8877" xr:uid="{91C7FA47-F86A-4A47-82B8-CE450695BAE5}"/>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486" xr:uid="{4D9A2DAF-4D8B-4399-9C85-AC561E515678}"/>
    <cellStyle name="Currency 5 2 2 3 2 2 2 3" xfId="12269" xr:uid="{E489B5D3-346F-4DFE-98E5-07663717A8DF}"/>
    <cellStyle name="Currency 5 2 2 3 2 2 3" xfId="5059" xr:uid="{00000000-0005-0000-0000-0000CB0B0000}"/>
    <cellStyle name="Currency 5 2 2 3 2 2 3 2" xfId="14341" xr:uid="{9EA4DE25-DF2F-4742-A677-A042C7504E4C}"/>
    <cellStyle name="Currency 5 2 2 3 2 2 4" xfId="10124" xr:uid="{9D17AD12-55CA-4F16-8439-5A73FB9E1B5B}"/>
    <cellStyle name="Currency 5 2 2 3 2 2 5" xfId="9294" xr:uid="{187E9F0C-B68A-4B08-9F95-DE6113DED23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899" xr:uid="{343D2C26-EBD2-4D5D-85F7-85F4FA7FD73E}"/>
    <cellStyle name="Currency 5 2 2 3 2 3 2 3" xfId="12682" xr:uid="{30080072-FECD-4A02-87CE-A71602B56E0E}"/>
    <cellStyle name="Currency 5 2 2 3 2 3 3" xfId="5472" xr:uid="{00000000-0005-0000-0000-0000CF0B0000}"/>
    <cellStyle name="Currency 5 2 2 3 2 3 3 2" xfId="14754" xr:uid="{3F0EC9B3-F4D2-4C68-835E-99717AFE15AB}"/>
    <cellStyle name="Currency 5 2 2 3 2 3 4" xfId="10537" xr:uid="{4C4C2100-377F-4F84-8007-53BF3FDA4251}"/>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12" xr:uid="{05FCF60C-CF28-41D2-BAB1-0BB046776F51}"/>
    <cellStyle name="Currency 5 2 2 3 2 4 2 3" xfId="13095" xr:uid="{5B7C044B-07BA-4389-A568-B03A3ECBF938}"/>
    <cellStyle name="Currency 5 2 2 3 2 4 3" xfId="5885" xr:uid="{00000000-0005-0000-0000-0000D30B0000}"/>
    <cellStyle name="Currency 5 2 2 3 2 4 3 2" xfId="15167" xr:uid="{AEA60737-CE80-4403-959B-EA962393C633}"/>
    <cellStyle name="Currency 5 2 2 3 2 4 4" xfId="10950" xr:uid="{8D477C87-05B1-4D35-BCBF-7BF7772DCF84}"/>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25" xr:uid="{A5B566C3-E3FE-45CA-89B5-11DC5E37DAAF}"/>
    <cellStyle name="Currency 5 2 2 3 2 5 2 3" xfId="13508" xr:uid="{C684D4A4-B767-4842-B7C2-5CC259E73437}"/>
    <cellStyle name="Currency 5 2 2 3 2 5 3" xfId="6298" xr:uid="{00000000-0005-0000-0000-0000D70B0000}"/>
    <cellStyle name="Currency 5 2 2 3 2 5 3 2" xfId="15580" xr:uid="{046DD00E-62C5-4F09-8077-F1ABF641EEF7}"/>
    <cellStyle name="Currency 5 2 2 3 2 5 4" xfId="11363" xr:uid="{2188E49E-191D-4088-A965-0E635DEA03A2}"/>
    <cellStyle name="Currency 5 2 2 3 2 6" xfId="2427" xr:uid="{00000000-0005-0000-0000-0000D80B0000}"/>
    <cellStyle name="Currency 5 2 2 3 2 6 2" xfId="6711" xr:uid="{00000000-0005-0000-0000-0000D90B0000}"/>
    <cellStyle name="Currency 5 2 2 3 2 6 2 2" xfId="15993" xr:uid="{359AC109-4A4B-4884-BF8A-4607D75F6401}"/>
    <cellStyle name="Currency 5 2 2 3 2 6 3" xfId="11776" xr:uid="{0FF18518-C9D9-4AB5-AA61-1444BB816B78}"/>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10" xr:uid="{53161FC5-6096-421E-AC88-FEC7CBF78458}"/>
    <cellStyle name="Currency 5 2 2 3 2 8 3" xfId="12093" xr:uid="{6CDF7896-AC44-4509-9ED7-A6195BBAF6B7}"/>
    <cellStyle name="Currency 5 2 2 3 2 9" xfId="4645" xr:uid="{00000000-0005-0000-0000-0000DD0B0000}"/>
    <cellStyle name="Currency 5 2 2 3 2 9 2" xfId="13927" xr:uid="{20A95B81-D7C6-4B72-A66E-BB25742D00D7}"/>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485" xr:uid="{4A498197-40CF-4FFC-8F59-C89220F6509A}"/>
    <cellStyle name="Currency 5 2 2 3 3 2 3" xfId="12268" xr:uid="{B2E0B7D5-852F-4601-93DC-9C8EBD62A515}"/>
    <cellStyle name="Currency 5 2 2 3 3 3" xfId="5058" xr:uid="{00000000-0005-0000-0000-0000E10B0000}"/>
    <cellStyle name="Currency 5 2 2 3 3 3 2" xfId="14340" xr:uid="{A221133C-E26B-436A-8F4F-D18094AC6CCC}"/>
    <cellStyle name="Currency 5 2 2 3 3 4" xfId="10123" xr:uid="{6E636F06-D61B-429B-B5E1-14787CDD06A4}"/>
    <cellStyle name="Currency 5 2 2 3 3 5" xfId="9293" xr:uid="{09BA945E-8040-4896-995F-61DFB81F724D}"/>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898" xr:uid="{F86B695D-7CA5-40C6-93AA-E19C5E0D8B55}"/>
    <cellStyle name="Currency 5 2 2 3 4 2 3" xfId="12681" xr:uid="{08491D64-4E8F-4045-BD62-1B21622CD039}"/>
    <cellStyle name="Currency 5 2 2 3 4 3" xfId="5471" xr:uid="{00000000-0005-0000-0000-0000E50B0000}"/>
    <cellStyle name="Currency 5 2 2 3 4 3 2" xfId="14753" xr:uid="{C24EDE92-D339-4D99-B736-FB3F79B6AB23}"/>
    <cellStyle name="Currency 5 2 2 3 4 4" xfId="10536" xr:uid="{9E6997B3-2E19-4E65-8E1B-FB0589A84B2F}"/>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11" xr:uid="{C8191093-2041-4810-B8A7-379175003802}"/>
    <cellStyle name="Currency 5 2 2 3 5 2 3" xfId="13094" xr:uid="{F638683C-6F58-4811-976F-F360EF8B565D}"/>
    <cellStyle name="Currency 5 2 2 3 5 3" xfId="5884" xr:uid="{00000000-0005-0000-0000-0000E90B0000}"/>
    <cellStyle name="Currency 5 2 2 3 5 3 2" xfId="15166" xr:uid="{AC12DA9F-1DE1-4066-9932-D0F7E13A630F}"/>
    <cellStyle name="Currency 5 2 2 3 5 4" xfId="10949" xr:uid="{6B88D23F-98D0-42CF-8F60-A1223A0BB86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24" xr:uid="{83A2482E-1905-45F5-9CD6-0D68184F7E34}"/>
    <cellStyle name="Currency 5 2 2 3 6 2 3" xfId="13507" xr:uid="{B9262488-2C8C-40D5-B7CB-0568CA698955}"/>
    <cellStyle name="Currency 5 2 2 3 6 3" xfId="6297" xr:uid="{00000000-0005-0000-0000-0000ED0B0000}"/>
    <cellStyle name="Currency 5 2 2 3 6 3 2" xfId="15579" xr:uid="{3FC3FF21-BD2F-41E2-90EC-CD0E3CDF472A}"/>
    <cellStyle name="Currency 5 2 2 3 6 4" xfId="11362" xr:uid="{3FC6D443-E902-4C90-BCDA-FA02253DCDF6}"/>
    <cellStyle name="Currency 5 2 2 3 7" xfId="2426" xr:uid="{00000000-0005-0000-0000-0000EE0B0000}"/>
    <cellStyle name="Currency 5 2 2 3 7 2" xfId="6710" xr:uid="{00000000-0005-0000-0000-0000EF0B0000}"/>
    <cellStyle name="Currency 5 2 2 3 7 2 2" xfId="15992" xr:uid="{B8DD5485-11DE-4995-B5B6-529723204D26}"/>
    <cellStyle name="Currency 5 2 2 3 7 3" xfId="11775" xr:uid="{ECFCA9C9-4D90-4453-90FE-F7116D06D392}"/>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09" xr:uid="{AA835971-E255-43FF-9543-AA0787C10DF0}"/>
    <cellStyle name="Currency 5 2 2 3 9 3" xfId="12092" xr:uid="{20B033C3-401E-41BC-A119-EE4D71C3C8C0}"/>
    <cellStyle name="Currency 5 2 2 4" xfId="202" xr:uid="{00000000-0005-0000-0000-0000F30B0000}"/>
    <cellStyle name="Currency 5 2 2 4 10" xfId="9711" xr:uid="{6B869E52-BA56-4391-9636-056A3C369116}"/>
    <cellStyle name="Currency 5 2 2 4 11" xfId="8878" xr:uid="{A4E81CC0-036C-4BAF-A0A2-045DEE41A9F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487" xr:uid="{4EFE55D2-1B14-4577-9777-C07C947B0751}"/>
    <cellStyle name="Currency 5 2 2 4 2 2 3" xfId="12270" xr:uid="{64FD1BF4-C8C1-4D16-914F-EF44D7AA1161}"/>
    <cellStyle name="Currency 5 2 2 4 2 3" xfId="5060" xr:uid="{00000000-0005-0000-0000-0000F70B0000}"/>
    <cellStyle name="Currency 5 2 2 4 2 3 2" xfId="14342" xr:uid="{8A83EE5D-726F-4357-B4E9-50C3F828721C}"/>
    <cellStyle name="Currency 5 2 2 4 2 4" xfId="10125" xr:uid="{954D1CCB-4723-4F10-8E24-861D5660D74A}"/>
    <cellStyle name="Currency 5 2 2 4 2 5" xfId="9295" xr:uid="{39942E90-BCF7-40DE-823B-29E2F96904FB}"/>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00" xr:uid="{3B550254-7CE8-47A5-8511-849D61417365}"/>
    <cellStyle name="Currency 5 2 2 4 3 2 3" xfId="12683" xr:uid="{EC21C0D0-140A-492C-AFB8-F25D0054F0AB}"/>
    <cellStyle name="Currency 5 2 2 4 3 3" xfId="5473" xr:uid="{00000000-0005-0000-0000-0000FB0B0000}"/>
    <cellStyle name="Currency 5 2 2 4 3 3 2" xfId="14755" xr:uid="{BCFBB861-509D-4510-ACB6-A6968F37812D}"/>
    <cellStyle name="Currency 5 2 2 4 3 4" xfId="10538" xr:uid="{0DAACAA7-4D36-4DE6-A144-4EED3A6A7B0F}"/>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13" xr:uid="{88C46D3E-23B4-4F83-BCAF-F2939019A7CE}"/>
    <cellStyle name="Currency 5 2 2 4 4 2 3" xfId="13096" xr:uid="{0EE6453B-1AC8-44B9-A83F-6AD3FAE97CFF}"/>
    <cellStyle name="Currency 5 2 2 4 4 3" xfId="5886" xr:uid="{00000000-0005-0000-0000-0000FF0B0000}"/>
    <cellStyle name="Currency 5 2 2 4 4 3 2" xfId="15168" xr:uid="{4FE1AC24-51C1-4FE9-B2FD-47F3EF5E5C36}"/>
    <cellStyle name="Currency 5 2 2 4 4 4" xfId="10951" xr:uid="{9D72A15B-7541-4EE0-9DD5-29ACDD0DFDD3}"/>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26" xr:uid="{95529696-8379-4CB4-952E-C4C9338606E7}"/>
    <cellStyle name="Currency 5 2 2 4 5 2 3" xfId="13509" xr:uid="{1B1B159B-E25D-4201-B761-0C8D479D2A38}"/>
    <cellStyle name="Currency 5 2 2 4 5 3" xfId="6299" xr:uid="{00000000-0005-0000-0000-0000030C0000}"/>
    <cellStyle name="Currency 5 2 2 4 5 3 2" xfId="15581" xr:uid="{1A9BA9BE-D4B3-487E-9476-1E7E101BB70C}"/>
    <cellStyle name="Currency 5 2 2 4 5 4" xfId="11364" xr:uid="{E45CB7ED-396A-4875-8C11-8A3979726795}"/>
    <cellStyle name="Currency 5 2 2 4 6" xfId="2428" xr:uid="{00000000-0005-0000-0000-0000040C0000}"/>
    <cellStyle name="Currency 5 2 2 4 6 2" xfId="6712" xr:uid="{00000000-0005-0000-0000-0000050C0000}"/>
    <cellStyle name="Currency 5 2 2 4 6 2 2" xfId="15994" xr:uid="{970D43D3-F5BE-4FE8-8352-131E4EF1404C}"/>
    <cellStyle name="Currency 5 2 2 4 6 3" xfId="11777" xr:uid="{1AB9C756-7315-41CD-B80A-6C538874A81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11" xr:uid="{6D3E9CF6-0C6D-428F-9BB4-2834D59767AD}"/>
    <cellStyle name="Currency 5 2 2 4 8 3" xfId="12094" xr:uid="{38B26247-E68E-40BB-BF97-3A6707EED5F8}"/>
    <cellStyle name="Currency 5 2 2 4 9" xfId="4646" xr:uid="{00000000-0005-0000-0000-0000090C0000}"/>
    <cellStyle name="Currency 5 2 2 4 9 2" xfId="13928" xr:uid="{9F465859-186E-4945-87F2-4EC1D22845CF}"/>
    <cellStyle name="Currency 5 2 2 5" xfId="203" xr:uid="{00000000-0005-0000-0000-00000A0C0000}"/>
    <cellStyle name="Currency 5 2 2 5 10" xfId="9712" xr:uid="{55693D02-64B4-4FDC-A686-7973847C3E1C}"/>
    <cellStyle name="Currency 5 2 2 5 11" xfId="8879" xr:uid="{C2D88776-C0DC-4117-A804-47A10B98824F}"/>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488" xr:uid="{A5F6DE65-C9C5-4C46-BC3A-F04B9DA78F37}"/>
    <cellStyle name="Currency 5 2 2 5 2 2 3" xfId="12271" xr:uid="{7209272A-5407-41D6-940C-8E21520ADACA}"/>
    <cellStyle name="Currency 5 2 2 5 2 3" xfId="5061" xr:uid="{00000000-0005-0000-0000-00000E0C0000}"/>
    <cellStyle name="Currency 5 2 2 5 2 3 2" xfId="14343" xr:uid="{A50507F4-3BF0-4EEA-A662-01B6B7E401F3}"/>
    <cellStyle name="Currency 5 2 2 5 2 4" xfId="10126" xr:uid="{38A5FD11-FCD6-4B0E-838D-85496A37811E}"/>
    <cellStyle name="Currency 5 2 2 5 2 5" xfId="9296" xr:uid="{4F2AC450-567C-4976-8083-F21C71B61A2F}"/>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01" xr:uid="{0E3E791C-9775-4B5B-90A7-1CCEB89F6B28}"/>
    <cellStyle name="Currency 5 2 2 5 3 2 3" xfId="12684" xr:uid="{EF352128-4E4E-4DAE-AACF-D30C5BFF59B3}"/>
    <cellStyle name="Currency 5 2 2 5 3 3" xfId="5474" xr:uid="{00000000-0005-0000-0000-0000120C0000}"/>
    <cellStyle name="Currency 5 2 2 5 3 3 2" xfId="14756" xr:uid="{D7B59DA6-CCCC-40F4-B70D-0A950A2B4FFB}"/>
    <cellStyle name="Currency 5 2 2 5 3 4" xfId="10539" xr:uid="{4F58FC50-D06B-4184-9799-681648B26E8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14" xr:uid="{93734E81-3A27-4563-9DC4-7D8D4D1FA952}"/>
    <cellStyle name="Currency 5 2 2 5 4 2 3" xfId="13097" xr:uid="{0DED30CE-3F89-4C1E-BD70-E727102CCB78}"/>
    <cellStyle name="Currency 5 2 2 5 4 3" xfId="5887" xr:uid="{00000000-0005-0000-0000-0000160C0000}"/>
    <cellStyle name="Currency 5 2 2 5 4 3 2" xfId="15169" xr:uid="{DBF840CF-D351-4823-9916-8948423CDF49}"/>
    <cellStyle name="Currency 5 2 2 5 4 4" xfId="10952" xr:uid="{7F797129-6311-44EF-A575-456F7EB0C77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27" xr:uid="{BA6AE628-DB85-4CED-A79C-FC725D47DBE9}"/>
    <cellStyle name="Currency 5 2 2 5 5 2 3" xfId="13510" xr:uid="{03EDA292-7E05-4EBC-9BEB-55A8B9CD960E}"/>
    <cellStyle name="Currency 5 2 2 5 5 3" xfId="6300" xr:uid="{00000000-0005-0000-0000-00001A0C0000}"/>
    <cellStyle name="Currency 5 2 2 5 5 3 2" xfId="15582" xr:uid="{A931D8DC-9EDA-488B-A011-734BB919B8FB}"/>
    <cellStyle name="Currency 5 2 2 5 5 4" xfId="11365" xr:uid="{099DE628-2060-4254-9DF7-2BB0DBE63756}"/>
    <cellStyle name="Currency 5 2 2 5 6" xfId="2429" xr:uid="{00000000-0005-0000-0000-00001B0C0000}"/>
    <cellStyle name="Currency 5 2 2 5 6 2" xfId="6713" xr:uid="{00000000-0005-0000-0000-00001C0C0000}"/>
    <cellStyle name="Currency 5 2 2 5 6 2 2" xfId="15995" xr:uid="{A72F35EC-262F-4A64-83E5-A75F2515E773}"/>
    <cellStyle name="Currency 5 2 2 5 6 3" xfId="11778" xr:uid="{E377A73C-C2B9-42C6-9CE3-A281F6CD54C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12" xr:uid="{5AF172FF-BFA5-4325-BB28-D2602724F69B}"/>
    <cellStyle name="Currency 5 2 2 5 8 3" xfId="12095" xr:uid="{62979C9F-6F9A-4C6A-8A12-38B10E0555F6}"/>
    <cellStyle name="Currency 5 2 2 5 9" xfId="4647" xr:uid="{00000000-0005-0000-0000-0000200C0000}"/>
    <cellStyle name="Currency 5 2 2 5 9 2" xfId="13929" xr:uid="{B8A74497-E1B6-40E1-B982-B495429FAB2D}"/>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30" xr:uid="{35156345-21AB-40F6-B927-7BBAE80B48E4}"/>
    <cellStyle name="Currency 5 2 4 11" xfId="9713" xr:uid="{D659C252-4D89-4007-84BF-F63D99196A84}"/>
    <cellStyle name="Currency 5 2 4 12" xfId="8880" xr:uid="{31663357-AE80-4185-B6EA-0F94B1E3AA0C}"/>
    <cellStyle name="Currency 5 2 4 2" xfId="206" xr:uid="{00000000-0005-0000-0000-0000250C0000}"/>
    <cellStyle name="Currency 5 2 4 2 10" xfId="9714" xr:uid="{B87855D6-6C71-49FD-AC13-BB4812D07C3C}"/>
    <cellStyle name="Currency 5 2 4 2 11" xfId="8881" xr:uid="{38BF3388-46BC-46D5-BEBB-6BDAC03CF6D6}"/>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490" xr:uid="{1DE20080-C955-48C8-BA6B-C5F7166FEAA6}"/>
    <cellStyle name="Currency 5 2 4 2 2 2 3" xfId="12273" xr:uid="{5F305194-96BA-4713-9189-E0262E435681}"/>
    <cellStyle name="Currency 5 2 4 2 2 3" xfId="5063" xr:uid="{00000000-0005-0000-0000-0000290C0000}"/>
    <cellStyle name="Currency 5 2 4 2 2 3 2" xfId="14345" xr:uid="{79F139CE-DC01-402A-90C9-B04A8AFD49DA}"/>
    <cellStyle name="Currency 5 2 4 2 2 4" xfId="10128" xr:uid="{4D7296CE-921C-448C-8D02-2D85DE0680E8}"/>
    <cellStyle name="Currency 5 2 4 2 2 5" xfId="9298" xr:uid="{ACDCEDC7-B5AC-441C-8338-7019D98483AC}"/>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03" xr:uid="{FD5ABB24-91F6-4C55-A30B-6A07C98CD8E2}"/>
    <cellStyle name="Currency 5 2 4 2 3 2 3" xfId="12686" xr:uid="{6D4A0A33-B313-4AAF-8107-97363CA9689B}"/>
    <cellStyle name="Currency 5 2 4 2 3 3" xfId="5476" xr:uid="{00000000-0005-0000-0000-00002D0C0000}"/>
    <cellStyle name="Currency 5 2 4 2 3 3 2" xfId="14758" xr:uid="{CB0EFB13-DEB6-494B-B2BD-A6DC492AD8EE}"/>
    <cellStyle name="Currency 5 2 4 2 3 4" xfId="10541" xr:uid="{24FFB4C3-8E79-48F5-9ED8-AE87C49DF949}"/>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16" xr:uid="{84CE5216-B65C-414F-B5F3-6C288288CD6B}"/>
    <cellStyle name="Currency 5 2 4 2 4 2 3" xfId="13099" xr:uid="{AE9BEEE3-8FC1-4DC7-BA66-15FFC712473A}"/>
    <cellStyle name="Currency 5 2 4 2 4 3" xfId="5889" xr:uid="{00000000-0005-0000-0000-0000310C0000}"/>
    <cellStyle name="Currency 5 2 4 2 4 3 2" xfId="15171" xr:uid="{5EB3E501-7857-485F-9324-CA66C52DD934}"/>
    <cellStyle name="Currency 5 2 4 2 4 4" xfId="10954" xr:uid="{1C230BA9-71AF-4CDB-9920-9536234D17BB}"/>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29" xr:uid="{6EE728B3-DBCE-46B3-A10C-253A629D7210}"/>
    <cellStyle name="Currency 5 2 4 2 5 2 3" xfId="13512" xr:uid="{7D458C46-F300-4A3C-B989-AF1ED509C231}"/>
    <cellStyle name="Currency 5 2 4 2 5 3" xfId="6302" xr:uid="{00000000-0005-0000-0000-0000350C0000}"/>
    <cellStyle name="Currency 5 2 4 2 5 3 2" xfId="15584" xr:uid="{979EFFCF-4F85-46B6-B8D5-67C27F8ECA85}"/>
    <cellStyle name="Currency 5 2 4 2 5 4" xfId="11367" xr:uid="{F9BFD6DF-8226-4953-834D-DF50C634FB15}"/>
    <cellStyle name="Currency 5 2 4 2 6" xfId="2431" xr:uid="{00000000-0005-0000-0000-0000360C0000}"/>
    <cellStyle name="Currency 5 2 4 2 6 2" xfId="6715" xr:uid="{00000000-0005-0000-0000-0000370C0000}"/>
    <cellStyle name="Currency 5 2 4 2 6 2 2" xfId="15997" xr:uid="{AE458D16-255A-44A0-999E-9594D963951B}"/>
    <cellStyle name="Currency 5 2 4 2 6 3" xfId="11780" xr:uid="{FC4F1C2E-85CA-4405-939C-F525D3259E84}"/>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14" xr:uid="{A9D40713-1746-47D8-842B-6679CD8C8EB5}"/>
    <cellStyle name="Currency 5 2 4 2 8 3" xfId="12097" xr:uid="{E51791CB-581D-45C3-BAE1-D48C908C497D}"/>
    <cellStyle name="Currency 5 2 4 2 9" xfId="4649" xr:uid="{00000000-0005-0000-0000-00003B0C0000}"/>
    <cellStyle name="Currency 5 2 4 2 9 2" xfId="13931" xr:uid="{7BFAAA1C-4FC6-4A4E-9DE4-26E37D6B842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489" xr:uid="{D6F229E2-A352-4055-9422-DED560391840}"/>
    <cellStyle name="Currency 5 2 4 3 2 3" xfId="12272" xr:uid="{38570130-B0E6-4E12-86C3-2B236C472A6C}"/>
    <cellStyle name="Currency 5 2 4 3 3" xfId="5062" xr:uid="{00000000-0005-0000-0000-00003F0C0000}"/>
    <cellStyle name="Currency 5 2 4 3 3 2" xfId="14344" xr:uid="{0F1C56FA-F119-43B8-9934-124D2A1F9EA8}"/>
    <cellStyle name="Currency 5 2 4 3 4" xfId="10127" xr:uid="{2C57F1CD-EA78-4B94-869E-A94126FFEBEE}"/>
    <cellStyle name="Currency 5 2 4 3 5" xfId="9297" xr:uid="{7F9CCA06-49C9-4DA2-BA78-61325B45963B}"/>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02" xr:uid="{EAB01B33-7C88-4D61-BEEB-EBCA5F3DDB8F}"/>
    <cellStyle name="Currency 5 2 4 4 2 3" xfId="12685" xr:uid="{0E66F4E1-3DBF-4873-B95D-211E5C51F22B}"/>
    <cellStyle name="Currency 5 2 4 4 3" xfId="5475" xr:uid="{00000000-0005-0000-0000-0000430C0000}"/>
    <cellStyle name="Currency 5 2 4 4 3 2" xfId="14757" xr:uid="{35776F5A-9E48-4ADA-98DC-DD3D1529D80F}"/>
    <cellStyle name="Currency 5 2 4 4 4" xfId="10540" xr:uid="{90A1539B-17F3-4BB3-8EEC-A9753C2A17C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15" xr:uid="{BB41955F-ADDC-40DD-8D97-99A8C572B62E}"/>
    <cellStyle name="Currency 5 2 4 5 2 3" xfId="13098" xr:uid="{AC5E4B95-CF96-412A-B662-36BAE30C62EA}"/>
    <cellStyle name="Currency 5 2 4 5 3" xfId="5888" xr:uid="{00000000-0005-0000-0000-0000470C0000}"/>
    <cellStyle name="Currency 5 2 4 5 3 2" xfId="15170" xr:uid="{09185508-14E1-468E-B7D0-85C328741B52}"/>
    <cellStyle name="Currency 5 2 4 5 4" xfId="10953" xr:uid="{D340DD74-2602-493D-8AFA-10BA87FD19E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28" xr:uid="{275E57D0-20E9-4CAE-9C38-B4A7FBFB27CF}"/>
    <cellStyle name="Currency 5 2 4 6 2 3" xfId="13511" xr:uid="{EB5473A7-B7C1-4BA3-B7F4-DC653BE1E78F}"/>
    <cellStyle name="Currency 5 2 4 6 3" xfId="6301" xr:uid="{00000000-0005-0000-0000-00004B0C0000}"/>
    <cellStyle name="Currency 5 2 4 6 3 2" xfId="15583" xr:uid="{CFE685C5-1C8D-4A60-84A5-648729DB8CE8}"/>
    <cellStyle name="Currency 5 2 4 6 4" xfId="11366" xr:uid="{98EBECE0-ABD8-4B81-BDCB-FB8069ABF687}"/>
    <cellStyle name="Currency 5 2 4 7" xfId="2430" xr:uid="{00000000-0005-0000-0000-00004C0C0000}"/>
    <cellStyle name="Currency 5 2 4 7 2" xfId="6714" xr:uid="{00000000-0005-0000-0000-00004D0C0000}"/>
    <cellStyle name="Currency 5 2 4 7 2 2" xfId="15996" xr:uid="{77DA3ABE-C559-4392-BD02-77A692A647C8}"/>
    <cellStyle name="Currency 5 2 4 7 3" xfId="11779" xr:uid="{99196BC9-8E06-4DE4-A8CB-E1F66DD0F8FB}"/>
    <cellStyle name="Currency 5 2 4 8" xfId="2727" xr:uid="{00000000-0005-0000-0000-00004E0C0000}"/>
    <cellStyle name="Currency 5 2 4 9" xfId="2808" xr:uid="{00000000-0005-0000-0000-00004F0C0000}"/>
    <cellStyle name="Currency 5 2 4 9 2" xfId="7031" xr:uid="{00000000-0005-0000-0000-0000500C0000}"/>
    <cellStyle name="Currency 5 2 4 9 2 2" xfId="16313" xr:uid="{69FADD8D-4E2E-4048-9F20-0A85CE648D64}"/>
    <cellStyle name="Currency 5 2 4 9 3" xfId="12096" xr:uid="{61D4DEB0-9097-46B0-8FC9-3B9A7DF3F23F}"/>
    <cellStyle name="Currency 5 2 5" xfId="207" xr:uid="{00000000-0005-0000-0000-0000510C0000}"/>
    <cellStyle name="Currency 5 2 5 10" xfId="9715" xr:uid="{14A842A4-5288-49EE-A782-C18FBBEB497B}"/>
    <cellStyle name="Currency 5 2 5 11" xfId="8882" xr:uid="{72CAC994-7397-4237-996F-3E2CFD2ECA6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491" xr:uid="{A7605E19-4109-40EA-B297-4E162698845C}"/>
    <cellStyle name="Currency 5 2 5 2 2 3" xfId="12274" xr:uid="{BF08595C-27E6-4980-98B8-F4017E5BEA6D}"/>
    <cellStyle name="Currency 5 2 5 2 3" xfId="5064" xr:uid="{00000000-0005-0000-0000-0000550C0000}"/>
    <cellStyle name="Currency 5 2 5 2 3 2" xfId="14346" xr:uid="{829327B0-38E7-4E86-BFB3-EE9D559855DB}"/>
    <cellStyle name="Currency 5 2 5 2 4" xfId="10129" xr:uid="{3B82EEDA-5819-4E89-8CBA-080715F80E91}"/>
    <cellStyle name="Currency 5 2 5 2 5" xfId="9299" xr:uid="{C81254E9-4124-4354-BA13-F25584A13C94}"/>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04" xr:uid="{2469A120-4411-49C0-AF37-B3C896E38277}"/>
    <cellStyle name="Currency 5 2 5 3 2 3" xfId="12687" xr:uid="{9178894F-21CF-4FDC-AB10-8E71CC4B9652}"/>
    <cellStyle name="Currency 5 2 5 3 3" xfId="5477" xr:uid="{00000000-0005-0000-0000-0000590C0000}"/>
    <cellStyle name="Currency 5 2 5 3 3 2" xfId="14759" xr:uid="{FB7696C0-7331-40B5-9FAC-5CE9082B46D6}"/>
    <cellStyle name="Currency 5 2 5 3 4" xfId="10542" xr:uid="{C8572D2C-0E94-4511-BDB6-FA3EEBBA26BD}"/>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17" xr:uid="{E10D76DE-5CC5-4B24-AC59-3A3C71520552}"/>
    <cellStyle name="Currency 5 2 5 4 2 3" xfId="13100" xr:uid="{34ADB32D-F483-49AC-8736-942018206020}"/>
    <cellStyle name="Currency 5 2 5 4 3" xfId="5890" xr:uid="{00000000-0005-0000-0000-00005D0C0000}"/>
    <cellStyle name="Currency 5 2 5 4 3 2" xfId="15172" xr:uid="{93B11C1F-1D3B-4467-9B8B-4B26531D40E1}"/>
    <cellStyle name="Currency 5 2 5 4 4" xfId="10955" xr:uid="{9E1820E8-DED9-4711-AC4E-723E6DAE9777}"/>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30" xr:uid="{C07C002F-7020-4423-A584-5C813FCAD85A}"/>
    <cellStyle name="Currency 5 2 5 5 2 3" xfId="13513" xr:uid="{AC44292F-E84D-4072-874A-EB8E3578FE36}"/>
    <cellStyle name="Currency 5 2 5 5 3" xfId="6303" xr:uid="{00000000-0005-0000-0000-0000610C0000}"/>
    <cellStyle name="Currency 5 2 5 5 3 2" xfId="15585" xr:uid="{55323A72-1563-4A98-B104-3B7F5CF990D7}"/>
    <cellStyle name="Currency 5 2 5 5 4" xfId="11368" xr:uid="{E4C64343-A0AF-43BA-9629-92E05B50419C}"/>
    <cellStyle name="Currency 5 2 5 6" xfId="2432" xr:uid="{00000000-0005-0000-0000-0000620C0000}"/>
    <cellStyle name="Currency 5 2 5 6 2" xfId="6716" xr:uid="{00000000-0005-0000-0000-0000630C0000}"/>
    <cellStyle name="Currency 5 2 5 6 2 2" xfId="15998" xr:uid="{E36A4885-DF7F-48B7-92A0-270FEA561FA7}"/>
    <cellStyle name="Currency 5 2 5 6 3" xfId="11781" xr:uid="{26E496F3-2F55-4842-8948-166045C98BC4}"/>
    <cellStyle name="Currency 5 2 5 7" xfId="2729" xr:uid="{00000000-0005-0000-0000-0000640C0000}"/>
    <cellStyle name="Currency 5 2 5 8" xfId="2810" xr:uid="{00000000-0005-0000-0000-0000650C0000}"/>
    <cellStyle name="Currency 5 2 5 8 2" xfId="7033" xr:uid="{00000000-0005-0000-0000-0000660C0000}"/>
    <cellStyle name="Currency 5 2 5 8 2 2" xfId="16315" xr:uid="{8FB8B7FA-8380-47D2-8593-AE456CEE9E52}"/>
    <cellStyle name="Currency 5 2 5 8 3" xfId="12098" xr:uid="{125EA7A6-8D44-446A-A9DD-6B628AB16B56}"/>
    <cellStyle name="Currency 5 2 5 9" xfId="4650" xr:uid="{00000000-0005-0000-0000-0000670C0000}"/>
    <cellStyle name="Currency 5 2 5 9 2" xfId="13932" xr:uid="{45FA4A96-7FD6-4182-87D7-106D647414B2}"/>
    <cellStyle name="Currency 5 2 6" xfId="208" xr:uid="{00000000-0005-0000-0000-0000680C0000}"/>
    <cellStyle name="Currency 5 2 6 10" xfId="9716" xr:uid="{617366F3-5BAC-482A-88ED-14C7F4FBEA1F}"/>
    <cellStyle name="Currency 5 2 6 11" xfId="8883" xr:uid="{17F45305-72DD-4EE4-98A0-35BEBC517A0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492" xr:uid="{6AF961DD-2DB9-4EF0-BE55-72F81C084FC3}"/>
    <cellStyle name="Currency 5 2 6 2 2 3" xfId="12275" xr:uid="{EF674A60-71F0-483A-86EC-E1B390791CC6}"/>
    <cellStyle name="Currency 5 2 6 2 3" xfId="5065" xr:uid="{00000000-0005-0000-0000-00006C0C0000}"/>
    <cellStyle name="Currency 5 2 6 2 3 2" xfId="14347" xr:uid="{242AEDB9-B76D-4B18-95FC-30121980FA01}"/>
    <cellStyle name="Currency 5 2 6 2 4" xfId="10130" xr:uid="{36551D42-9B7E-46F0-96AB-E787ED38D583}"/>
    <cellStyle name="Currency 5 2 6 2 5" xfId="9300" xr:uid="{BC9AC1FD-7B30-4175-87A0-348A594F97ED}"/>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05" xr:uid="{D8A19DB4-D482-4EB2-95B9-10FD40B5674F}"/>
    <cellStyle name="Currency 5 2 6 3 2 3" xfId="12688" xr:uid="{9217EC2F-3D91-4E45-8C02-FDE0FEE2E0F7}"/>
    <cellStyle name="Currency 5 2 6 3 3" xfId="5478" xr:uid="{00000000-0005-0000-0000-0000700C0000}"/>
    <cellStyle name="Currency 5 2 6 3 3 2" xfId="14760" xr:uid="{EB52C16C-F5BD-443C-BADA-1B4AA2EE0C0C}"/>
    <cellStyle name="Currency 5 2 6 3 4" xfId="10543" xr:uid="{83CABAE0-7519-4001-8321-4AC142E7AA61}"/>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18" xr:uid="{709EE5C8-6E72-4C6D-AA6E-DB1DDD7BA773}"/>
    <cellStyle name="Currency 5 2 6 4 2 3" xfId="13101" xr:uid="{E5734959-B5E5-4ACF-B774-FA761467A0FF}"/>
    <cellStyle name="Currency 5 2 6 4 3" xfId="5891" xr:uid="{00000000-0005-0000-0000-0000740C0000}"/>
    <cellStyle name="Currency 5 2 6 4 3 2" xfId="15173" xr:uid="{33D87B20-BF58-4A55-BDCB-D0F8439F58FD}"/>
    <cellStyle name="Currency 5 2 6 4 4" xfId="10956" xr:uid="{6CD3C563-757F-4FB8-B5E8-37AAF84A5C09}"/>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31" xr:uid="{9C2A7E3D-544A-452D-A8FF-5EC753223C14}"/>
    <cellStyle name="Currency 5 2 6 5 2 3" xfId="13514" xr:uid="{F992C8FD-7362-4563-A37A-EFF01DACFDCC}"/>
    <cellStyle name="Currency 5 2 6 5 3" xfId="6304" xr:uid="{00000000-0005-0000-0000-0000780C0000}"/>
    <cellStyle name="Currency 5 2 6 5 3 2" xfId="15586" xr:uid="{86245589-9275-4A85-90C6-E4457A65EE63}"/>
    <cellStyle name="Currency 5 2 6 5 4" xfId="11369" xr:uid="{7CF5B51D-EB3A-436C-9535-339A4A44954C}"/>
    <cellStyle name="Currency 5 2 6 6" xfId="2433" xr:uid="{00000000-0005-0000-0000-0000790C0000}"/>
    <cellStyle name="Currency 5 2 6 6 2" xfId="6717" xr:uid="{00000000-0005-0000-0000-00007A0C0000}"/>
    <cellStyle name="Currency 5 2 6 6 2 2" xfId="15999" xr:uid="{A241C939-9716-479D-983E-DEC6335AD9CF}"/>
    <cellStyle name="Currency 5 2 6 6 3" xfId="11782" xr:uid="{84548650-1002-4FEC-ADC2-7DD97924FB67}"/>
    <cellStyle name="Currency 5 2 6 7" xfId="2730" xr:uid="{00000000-0005-0000-0000-00007B0C0000}"/>
    <cellStyle name="Currency 5 2 6 8" xfId="2811" xr:uid="{00000000-0005-0000-0000-00007C0C0000}"/>
    <cellStyle name="Currency 5 2 6 8 2" xfId="7034" xr:uid="{00000000-0005-0000-0000-00007D0C0000}"/>
    <cellStyle name="Currency 5 2 6 8 2 2" xfId="16316" xr:uid="{0FEFCE4F-DBD8-482A-B1BA-8BF742E150A3}"/>
    <cellStyle name="Currency 5 2 6 8 3" xfId="12099" xr:uid="{65749EDC-6C72-4B90-B12A-D5551AB70426}"/>
    <cellStyle name="Currency 5 2 6 9" xfId="4651" xr:uid="{00000000-0005-0000-0000-00007E0C0000}"/>
    <cellStyle name="Currency 5 2 6 9 2" xfId="13933" xr:uid="{E6FD7DDC-B338-41E2-BE2F-E06BC7CF51E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17" xr:uid="{51E7CFF7-9E38-4192-8E62-E3754EB2F3EB}"/>
    <cellStyle name="Currency 5 3 2 10 3" xfId="12100" xr:uid="{20164881-A4E2-4CBC-9069-710DA2D136E6}"/>
    <cellStyle name="Currency 5 3 2 11" xfId="4652" xr:uid="{00000000-0005-0000-0000-0000840C0000}"/>
    <cellStyle name="Currency 5 3 2 11 2" xfId="13934" xr:uid="{B13AD488-3AE6-4E6B-A8C7-2CC3FC8C183B}"/>
    <cellStyle name="Currency 5 3 2 12" xfId="9717" xr:uid="{4B76B47C-BC6F-4443-A935-C131DE73942E}"/>
    <cellStyle name="Currency 5 3 2 13" xfId="8884" xr:uid="{BDD0B9EA-36EF-48F8-A90F-D2F5B740DD27}"/>
    <cellStyle name="Currency 5 3 2 2" xfId="211" xr:uid="{00000000-0005-0000-0000-0000850C0000}"/>
    <cellStyle name="Currency 5 3 2 2 10" xfId="4653" xr:uid="{00000000-0005-0000-0000-0000860C0000}"/>
    <cellStyle name="Currency 5 3 2 2 10 2" xfId="13935" xr:uid="{A5185A8C-1F86-45E8-971C-E9A66FAFE73C}"/>
    <cellStyle name="Currency 5 3 2 2 11" xfId="9718" xr:uid="{58A0FCED-3C88-470B-83FB-1E006B034210}"/>
    <cellStyle name="Currency 5 3 2 2 12" xfId="8885" xr:uid="{45C70F34-3835-461A-9E8B-CE37215C7759}"/>
    <cellStyle name="Currency 5 3 2 2 2" xfId="212" xr:uid="{00000000-0005-0000-0000-0000870C0000}"/>
    <cellStyle name="Currency 5 3 2 2 2 10" xfId="9719" xr:uid="{70EE05E5-9032-4461-83A2-4D08ED83E462}"/>
    <cellStyle name="Currency 5 3 2 2 2 11" xfId="8886" xr:uid="{E9F9222D-E85A-417B-A6E2-300169E5716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495" xr:uid="{F59D70BD-E746-40C9-B59D-94B5C0C0A129}"/>
    <cellStyle name="Currency 5 3 2 2 2 2 2 3" xfId="12278" xr:uid="{7B3FE74B-BAD1-4637-B59A-7F22B436F24A}"/>
    <cellStyle name="Currency 5 3 2 2 2 2 3" xfId="5068" xr:uid="{00000000-0005-0000-0000-00008B0C0000}"/>
    <cellStyle name="Currency 5 3 2 2 2 2 3 2" xfId="14350" xr:uid="{03EF7A94-E059-4670-90C9-C1101454609D}"/>
    <cellStyle name="Currency 5 3 2 2 2 2 4" xfId="10133" xr:uid="{873B9809-4965-4732-AE94-89704058BCD2}"/>
    <cellStyle name="Currency 5 3 2 2 2 2 5" xfId="9303" xr:uid="{0799616A-625E-4178-B690-FAFC73F38921}"/>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08" xr:uid="{89962C6E-6E00-44E0-B62C-9279553EA96A}"/>
    <cellStyle name="Currency 5 3 2 2 2 3 2 3" xfId="12691" xr:uid="{F0231F25-6882-4687-8F1D-3DB50BC49D35}"/>
    <cellStyle name="Currency 5 3 2 2 2 3 3" xfId="5481" xr:uid="{00000000-0005-0000-0000-00008F0C0000}"/>
    <cellStyle name="Currency 5 3 2 2 2 3 3 2" xfId="14763" xr:uid="{707AD80F-1035-4D90-ABC3-EBCC9B4A79DC}"/>
    <cellStyle name="Currency 5 3 2 2 2 3 4" xfId="10546" xr:uid="{FCF8D8D0-3A48-4A6B-9491-958AE42386B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21" xr:uid="{35E3296F-3614-4BF7-81B6-5588D65D85D1}"/>
    <cellStyle name="Currency 5 3 2 2 2 4 2 3" xfId="13104" xr:uid="{1BE1CCD0-7A92-4942-ADF2-C2A3E86D164D}"/>
    <cellStyle name="Currency 5 3 2 2 2 4 3" xfId="5894" xr:uid="{00000000-0005-0000-0000-0000930C0000}"/>
    <cellStyle name="Currency 5 3 2 2 2 4 3 2" xfId="15176" xr:uid="{C18B4EAF-9F59-44D0-B149-E09039268677}"/>
    <cellStyle name="Currency 5 3 2 2 2 4 4" xfId="10959" xr:uid="{E00C448D-5D43-4DC6-9242-1270EDCFD30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34" xr:uid="{1E8253B7-B92B-4C04-964A-6F2F3A37EE07}"/>
    <cellStyle name="Currency 5 3 2 2 2 5 2 3" xfId="13517" xr:uid="{DE274D1C-3134-4C0A-859C-807355CFF686}"/>
    <cellStyle name="Currency 5 3 2 2 2 5 3" xfId="6307" xr:uid="{00000000-0005-0000-0000-0000970C0000}"/>
    <cellStyle name="Currency 5 3 2 2 2 5 3 2" xfId="15589" xr:uid="{2A362D30-3791-4B01-91AA-D1E1968EEB0E}"/>
    <cellStyle name="Currency 5 3 2 2 2 5 4" xfId="11372" xr:uid="{2AF44578-C0A4-4948-AC3D-7E55BAC2BFF6}"/>
    <cellStyle name="Currency 5 3 2 2 2 6" xfId="2436" xr:uid="{00000000-0005-0000-0000-0000980C0000}"/>
    <cellStyle name="Currency 5 3 2 2 2 6 2" xfId="6720" xr:uid="{00000000-0005-0000-0000-0000990C0000}"/>
    <cellStyle name="Currency 5 3 2 2 2 6 2 2" xfId="16002" xr:uid="{7634E180-B122-4168-AF9A-05B11023446B}"/>
    <cellStyle name="Currency 5 3 2 2 2 6 3" xfId="11785" xr:uid="{3A58BF9A-26D4-4687-A8EB-AEBF5E03A54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19" xr:uid="{83E6862E-6A1B-4B74-BD02-87FB9D7C0914}"/>
    <cellStyle name="Currency 5 3 2 2 2 8 3" xfId="12102" xr:uid="{992475FB-A0A9-4C3E-9BE1-F633A3C9D847}"/>
    <cellStyle name="Currency 5 3 2 2 2 9" xfId="4654" xr:uid="{00000000-0005-0000-0000-00009D0C0000}"/>
    <cellStyle name="Currency 5 3 2 2 2 9 2" xfId="13936" xr:uid="{0D4E2E19-BAD7-4D4C-88FB-EF56ED832316}"/>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494" xr:uid="{1F717F83-C28E-48AB-9194-0AF4BAB701DB}"/>
    <cellStyle name="Currency 5 3 2 2 3 2 3" xfId="12277" xr:uid="{FE6E00BF-600D-4FC9-884F-ED3CD0A0F439}"/>
    <cellStyle name="Currency 5 3 2 2 3 3" xfId="5067" xr:uid="{00000000-0005-0000-0000-0000A10C0000}"/>
    <cellStyle name="Currency 5 3 2 2 3 3 2" xfId="14349" xr:uid="{2869AD5A-815D-43FD-9422-1059841C22FC}"/>
    <cellStyle name="Currency 5 3 2 2 3 4" xfId="10132" xr:uid="{DC6DB5C2-00C2-4445-A2B5-96FFA2A170E3}"/>
    <cellStyle name="Currency 5 3 2 2 3 5" xfId="9302" xr:uid="{DB685EA0-D045-4270-91BD-8C5C32B99843}"/>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07" xr:uid="{573DB17A-4489-4FD4-BB82-9A95E837A3D4}"/>
    <cellStyle name="Currency 5 3 2 2 4 2 3" xfId="12690" xr:uid="{9C46B585-3E73-4CE4-915C-F42D8E4290AE}"/>
    <cellStyle name="Currency 5 3 2 2 4 3" xfId="5480" xr:uid="{00000000-0005-0000-0000-0000A50C0000}"/>
    <cellStyle name="Currency 5 3 2 2 4 3 2" xfId="14762" xr:uid="{DA103394-6FB6-4FAF-93E6-38533F4AA624}"/>
    <cellStyle name="Currency 5 3 2 2 4 4" xfId="10545" xr:uid="{153FE570-BBEB-4325-A9B2-7001D640DAC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20" xr:uid="{005D56BB-E192-4B45-A335-B1F3E909F615}"/>
    <cellStyle name="Currency 5 3 2 2 5 2 3" xfId="13103" xr:uid="{6D8474CD-ABE0-4EB1-9829-DECCAA188BE7}"/>
    <cellStyle name="Currency 5 3 2 2 5 3" xfId="5893" xr:uid="{00000000-0005-0000-0000-0000A90C0000}"/>
    <cellStyle name="Currency 5 3 2 2 5 3 2" xfId="15175" xr:uid="{62BAE555-9026-4606-BB26-4E8DF51A3552}"/>
    <cellStyle name="Currency 5 3 2 2 5 4" xfId="10958" xr:uid="{136E03E3-AF9C-4EE9-8DFB-1740A1319C7D}"/>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33" xr:uid="{107F4454-10CD-498E-974A-818606A05F45}"/>
    <cellStyle name="Currency 5 3 2 2 6 2 3" xfId="13516" xr:uid="{C2B7C1A5-ED28-4D65-BC91-8ED75319145C}"/>
    <cellStyle name="Currency 5 3 2 2 6 3" xfId="6306" xr:uid="{00000000-0005-0000-0000-0000AD0C0000}"/>
    <cellStyle name="Currency 5 3 2 2 6 3 2" xfId="15588" xr:uid="{A772E5EE-0122-4B75-8911-5A3DCCDB611D}"/>
    <cellStyle name="Currency 5 3 2 2 6 4" xfId="11371" xr:uid="{801C1432-F54E-437B-80B9-7DA47AD3CBFA}"/>
    <cellStyle name="Currency 5 3 2 2 7" xfId="2435" xr:uid="{00000000-0005-0000-0000-0000AE0C0000}"/>
    <cellStyle name="Currency 5 3 2 2 7 2" xfId="6719" xr:uid="{00000000-0005-0000-0000-0000AF0C0000}"/>
    <cellStyle name="Currency 5 3 2 2 7 2 2" xfId="16001" xr:uid="{858598F6-D00C-471D-AEA6-A0C1E1562EBB}"/>
    <cellStyle name="Currency 5 3 2 2 7 3" xfId="11784" xr:uid="{53EF6CB9-7E49-4553-AF36-A8D5360303E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18" xr:uid="{90904C0C-0FBF-4C23-BEEB-1B5C9486CF43}"/>
    <cellStyle name="Currency 5 3 2 2 9 3" xfId="12101" xr:uid="{7207807D-C4A7-48B2-B93B-F01AC1C9F3AA}"/>
    <cellStyle name="Currency 5 3 2 3" xfId="213" xr:uid="{00000000-0005-0000-0000-0000B30C0000}"/>
    <cellStyle name="Currency 5 3 2 3 10" xfId="9720" xr:uid="{A811B85F-FE6D-4568-98C0-A065708A66C0}"/>
    <cellStyle name="Currency 5 3 2 3 11" xfId="8887" xr:uid="{AF582F04-CFE6-42F6-8FAB-973F7224D341}"/>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496" xr:uid="{3F8BB5E9-74FF-47B0-B97B-1C4107B28E8C}"/>
    <cellStyle name="Currency 5 3 2 3 2 2 3" xfId="12279" xr:uid="{1034F743-D0D5-4184-AA6B-5D435DF8E5FE}"/>
    <cellStyle name="Currency 5 3 2 3 2 3" xfId="5069" xr:uid="{00000000-0005-0000-0000-0000B70C0000}"/>
    <cellStyle name="Currency 5 3 2 3 2 3 2" xfId="14351" xr:uid="{F6B51D0F-8AE8-4AAC-963F-3F3FF6F3ABBE}"/>
    <cellStyle name="Currency 5 3 2 3 2 4" xfId="10134" xr:uid="{E23AD02C-B06B-4430-B7E3-D2DA666A6FCB}"/>
    <cellStyle name="Currency 5 3 2 3 2 5" xfId="9304" xr:uid="{CDB9DB66-CBF7-4172-83E6-83D9CA5AFA7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09" xr:uid="{F03D035F-E025-4A88-83D4-F98F91481895}"/>
    <cellStyle name="Currency 5 3 2 3 3 2 3" xfId="12692" xr:uid="{E15F1ED5-147B-41AD-9A60-6D3AA4A928B7}"/>
    <cellStyle name="Currency 5 3 2 3 3 3" xfId="5482" xr:uid="{00000000-0005-0000-0000-0000BB0C0000}"/>
    <cellStyle name="Currency 5 3 2 3 3 3 2" xfId="14764" xr:uid="{DAD6EB0A-267E-447E-AB7A-47078693B482}"/>
    <cellStyle name="Currency 5 3 2 3 3 4" xfId="10547" xr:uid="{D3562A20-B13E-4E10-AFD3-4B208599B63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22" xr:uid="{8B7BA1B1-0E15-4A98-AD39-7D32AB755404}"/>
    <cellStyle name="Currency 5 3 2 3 4 2 3" xfId="13105" xr:uid="{AA1636BB-D948-4C22-965D-A68A2C8074BC}"/>
    <cellStyle name="Currency 5 3 2 3 4 3" xfId="5895" xr:uid="{00000000-0005-0000-0000-0000BF0C0000}"/>
    <cellStyle name="Currency 5 3 2 3 4 3 2" xfId="15177" xr:uid="{CCC05A3A-466B-4D1F-A24F-12760A8E5A5F}"/>
    <cellStyle name="Currency 5 3 2 3 4 4" xfId="10960" xr:uid="{74C58182-B3B8-43CD-90D3-FDE5EDACB967}"/>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35" xr:uid="{D8D2A4C4-CBFC-415C-9FFE-44C18408B2DC}"/>
    <cellStyle name="Currency 5 3 2 3 5 2 3" xfId="13518" xr:uid="{71C5D336-2F79-4274-B72D-7310546C91B2}"/>
    <cellStyle name="Currency 5 3 2 3 5 3" xfId="6308" xr:uid="{00000000-0005-0000-0000-0000C30C0000}"/>
    <cellStyle name="Currency 5 3 2 3 5 3 2" xfId="15590" xr:uid="{179C4A47-4CFB-41BA-9F7E-095619113982}"/>
    <cellStyle name="Currency 5 3 2 3 5 4" xfId="11373" xr:uid="{758B0D64-7F20-44EE-A6DC-0621047ECD0A}"/>
    <cellStyle name="Currency 5 3 2 3 6" xfId="2437" xr:uid="{00000000-0005-0000-0000-0000C40C0000}"/>
    <cellStyle name="Currency 5 3 2 3 6 2" xfId="6721" xr:uid="{00000000-0005-0000-0000-0000C50C0000}"/>
    <cellStyle name="Currency 5 3 2 3 6 2 2" xfId="16003" xr:uid="{996A3B61-9F70-4BB0-9558-98226B154F33}"/>
    <cellStyle name="Currency 5 3 2 3 6 3" xfId="11786" xr:uid="{5D6116F2-FE5E-4B07-AF7E-7D75CEF5EC3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20" xr:uid="{5CA6C47D-2E9D-4A00-8CCC-B26FA54DB4BE}"/>
    <cellStyle name="Currency 5 3 2 3 8 3" xfId="12103" xr:uid="{18EDC70C-1675-4B82-8806-29ECA16BE1D9}"/>
    <cellStyle name="Currency 5 3 2 3 9" xfId="4655" xr:uid="{00000000-0005-0000-0000-0000C90C0000}"/>
    <cellStyle name="Currency 5 3 2 3 9 2" xfId="13937" xr:uid="{DE35650A-0524-4040-A250-F5A5E2E0900C}"/>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493" xr:uid="{1CA65441-EB38-4FF2-BF70-62923BF19CAB}"/>
    <cellStyle name="Currency 5 3 2 4 2 3" xfId="12276" xr:uid="{46E4DF6D-8E9A-4BFB-B14A-C8AC0B450486}"/>
    <cellStyle name="Currency 5 3 2 4 3" xfId="5066" xr:uid="{00000000-0005-0000-0000-0000CD0C0000}"/>
    <cellStyle name="Currency 5 3 2 4 3 2" xfId="14348" xr:uid="{C5552E55-6FB8-4015-B627-C0403F2A39BD}"/>
    <cellStyle name="Currency 5 3 2 4 4" xfId="10131" xr:uid="{F32BC4F8-F446-413D-8187-542B4A148BD4}"/>
    <cellStyle name="Currency 5 3 2 4 5" xfId="9301" xr:uid="{F445DE1E-D6AE-409C-91AD-2080F38F5B83}"/>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06" xr:uid="{EDF5D1A7-37CB-44B1-954F-11EEE34914DA}"/>
    <cellStyle name="Currency 5 3 2 5 2 3" xfId="12689" xr:uid="{66800E11-5780-4ABE-A9B0-AE750B190AE6}"/>
    <cellStyle name="Currency 5 3 2 5 3" xfId="5479" xr:uid="{00000000-0005-0000-0000-0000D10C0000}"/>
    <cellStyle name="Currency 5 3 2 5 3 2" xfId="14761" xr:uid="{4E7AE577-1428-4BAF-A1A1-DC02B05D263D}"/>
    <cellStyle name="Currency 5 3 2 5 4" xfId="10544" xr:uid="{A65ED68A-7BB4-4817-AE66-A357D49DFA6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19" xr:uid="{93963D49-F669-4BA0-B110-49F5FE448FD4}"/>
    <cellStyle name="Currency 5 3 2 6 2 3" xfId="13102" xr:uid="{BB3321A1-7D45-4B83-B967-4E3EEF39C022}"/>
    <cellStyle name="Currency 5 3 2 6 3" xfId="5892" xr:uid="{00000000-0005-0000-0000-0000D50C0000}"/>
    <cellStyle name="Currency 5 3 2 6 3 2" xfId="15174" xr:uid="{70F96ACB-A7DE-42DC-8253-52C5C97A62D1}"/>
    <cellStyle name="Currency 5 3 2 6 4" xfId="10957" xr:uid="{52B6AC41-37FC-4232-B13B-0EB40B6D65E4}"/>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32" xr:uid="{9DF965D5-40B6-4717-B2AA-56807064CFD0}"/>
    <cellStyle name="Currency 5 3 2 7 2 3" xfId="13515" xr:uid="{0DC3788A-388E-4770-B375-192430B65ECE}"/>
    <cellStyle name="Currency 5 3 2 7 3" xfId="6305" xr:uid="{00000000-0005-0000-0000-0000D90C0000}"/>
    <cellStyle name="Currency 5 3 2 7 3 2" xfId="15587" xr:uid="{49293AC3-E48B-4131-8AF4-6BBD89611E14}"/>
    <cellStyle name="Currency 5 3 2 7 4" xfId="11370" xr:uid="{ED35224D-BF83-43AC-9CE3-5BB72FF6401D}"/>
    <cellStyle name="Currency 5 3 2 8" xfId="2434" xr:uid="{00000000-0005-0000-0000-0000DA0C0000}"/>
    <cellStyle name="Currency 5 3 2 8 2" xfId="6718" xr:uid="{00000000-0005-0000-0000-0000DB0C0000}"/>
    <cellStyle name="Currency 5 3 2 8 2 2" xfId="16000" xr:uid="{E4AFA738-A18F-40BF-96C9-C3731D771A8B}"/>
    <cellStyle name="Currency 5 3 2 8 3" xfId="11783" xr:uid="{382C8AE9-98DE-4A98-8208-6A122CB2CD06}"/>
    <cellStyle name="Currency 5 3 2 9" xfId="2731" xr:uid="{00000000-0005-0000-0000-0000DC0C0000}"/>
    <cellStyle name="Currency 5 3 3" xfId="214" xr:uid="{00000000-0005-0000-0000-0000DD0C0000}"/>
    <cellStyle name="Currency 5 3 3 10" xfId="4656" xr:uid="{00000000-0005-0000-0000-0000DE0C0000}"/>
    <cellStyle name="Currency 5 3 3 10 2" xfId="13938" xr:uid="{630EB47B-4019-4442-B7C9-2FC863732408}"/>
    <cellStyle name="Currency 5 3 3 11" xfId="9721" xr:uid="{74550DE2-7B3E-4CDB-BA7C-465504D5E0C8}"/>
    <cellStyle name="Currency 5 3 3 12" xfId="8888" xr:uid="{A200CDE6-0501-4742-8012-ED2A65DF019E}"/>
    <cellStyle name="Currency 5 3 3 2" xfId="215" xr:uid="{00000000-0005-0000-0000-0000DF0C0000}"/>
    <cellStyle name="Currency 5 3 3 2 10" xfId="9722" xr:uid="{3ECBA2A0-C563-4242-BA03-7038C85E2239}"/>
    <cellStyle name="Currency 5 3 3 2 11" xfId="8889" xr:uid="{37701C8F-93E8-469A-A548-F333B4E671F1}"/>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498" xr:uid="{ADCE846E-9816-49A5-AD16-1D1A644FE625}"/>
    <cellStyle name="Currency 5 3 3 2 2 2 3" xfId="12281" xr:uid="{82B1EB22-4857-49D6-88D3-9B2CF2D8930B}"/>
    <cellStyle name="Currency 5 3 3 2 2 3" xfId="5071" xr:uid="{00000000-0005-0000-0000-0000E30C0000}"/>
    <cellStyle name="Currency 5 3 3 2 2 3 2" xfId="14353" xr:uid="{99EA37E7-3043-4CCE-B333-B7F981D8FB78}"/>
    <cellStyle name="Currency 5 3 3 2 2 4" xfId="10136" xr:uid="{B054E723-4EA2-4B42-AB42-A6C6DE889CBF}"/>
    <cellStyle name="Currency 5 3 3 2 2 5" xfId="9306" xr:uid="{669D9FC7-3123-4B5D-8464-19C11A6BDEB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11" xr:uid="{30A848C4-F0AF-48E7-AC39-0F3293FEB9C9}"/>
    <cellStyle name="Currency 5 3 3 2 3 2 3" xfId="12694" xr:uid="{44DED28E-2EC6-4616-B023-CA1556AAD8E8}"/>
    <cellStyle name="Currency 5 3 3 2 3 3" xfId="5484" xr:uid="{00000000-0005-0000-0000-0000E70C0000}"/>
    <cellStyle name="Currency 5 3 3 2 3 3 2" xfId="14766" xr:uid="{C528068C-90DD-405E-AB28-7DE37F70BE8E}"/>
    <cellStyle name="Currency 5 3 3 2 3 4" xfId="10549" xr:uid="{03F2FB64-CBA0-4A77-9BFC-94835F4287EF}"/>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24" xr:uid="{A5FA80D9-604F-42D5-9FE5-74D60C2EB45F}"/>
    <cellStyle name="Currency 5 3 3 2 4 2 3" xfId="13107" xr:uid="{0D20B1EB-5542-438C-AFEE-F04340D4B90E}"/>
    <cellStyle name="Currency 5 3 3 2 4 3" xfId="5897" xr:uid="{00000000-0005-0000-0000-0000EB0C0000}"/>
    <cellStyle name="Currency 5 3 3 2 4 3 2" xfId="15179" xr:uid="{500534DD-7CE7-4C26-9F9F-92730EBC05EC}"/>
    <cellStyle name="Currency 5 3 3 2 4 4" xfId="10962" xr:uid="{331F0CCD-EB71-4C34-B034-14108AD43CF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37" xr:uid="{CFD3BE33-1B19-4C48-BBF8-F1269D92FACB}"/>
    <cellStyle name="Currency 5 3 3 2 5 2 3" xfId="13520" xr:uid="{0615136F-CEB1-4CE6-B7CE-74E6B8CE8420}"/>
    <cellStyle name="Currency 5 3 3 2 5 3" xfId="6310" xr:uid="{00000000-0005-0000-0000-0000EF0C0000}"/>
    <cellStyle name="Currency 5 3 3 2 5 3 2" xfId="15592" xr:uid="{0A5762E7-9A4E-4E22-8FE6-77DC9276698A}"/>
    <cellStyle name="Currency 5 3 3 2 5 4" xfId="11375" xr:uid="{E42B2969-A392-4B20-ACB8-43C6EF6AE926}"/>
    <cellStyle name="Currency 5 3 3 2 6" xfId="2439" xr:uid="{00000000-0005-0000-0000-0000F00C0000}"/>
    <cellStyle name="Currency 5 3 3 2 6 2" xfId="6723" xr:uid="{00000000-0005-0000-0000-0000F10C0000}"/>
    <cellStyle name="Currency 5 3 3 2 6 2 2" xfId="16005" xr:uid="{19E13C26-A8C8-4E83-A34D-84C17DD35A1C}"/>
    <cellStyle name="Currency 5 3 3 2 6 3" xfId="11788" xr:uid="{ECF6124B-40D7-419D-84DB-BEC7E390249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22" xr:uid="{C7106EAA-07F5-4CF5-B665-8B319A6556F3}"/>
    <cellStyle name="Currency 5 3 3 2 8 3" xfId="12105" xr:uid="{C66F4E42-B801-4A8D-BD79-D32CBEB7EA5C}"/>
    <cellStyle name="Currency 5 3 3 2 9" xfId="4657" xr:uid="{00000000-0005-0000-0000-0000F50C0000}"/>
    <cellStyle name="Currency 5 3 3 2 9 2" xfId="13939" xr:uid="{391D2510-0F08-4617-A549-5E24F468AA41}"/>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497" xr:uid="{2C76D64F-ED82-45E2-96C9-D28684ED21AE}"/>
    <cellStyle name="Currency 5 3 3 3 2 3" xfId="12280" xr:uid="{37B57828-AF54-4F14-9E0A-68832D218AA1}"/>
    <cellStyle name="Currency 5 3 3 3 3" xfId="5070" xr:uid="{00000000-0005-0000-0000-0000F90C0000}"/>
    <cellStyle name="Currency 5 3 3 3 3 2" xfId="14352" xr:uid="{4F0685BA-3D93-4354-B603-25B6E7B6151C}"/>
    <cellStyle name="Currency 5 3 3 3 4" xfId="10135" xr:uid="{9EBA7152-E3AA-4208-8CC6-3731AF02090F}"/>
    <cellStyle name="Currency 5 3 3 3 5" xfId="9305" xr:uid="{36259019-A470-456B-B0C5-9318AFAB4FF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10" xr:uid="{F660B32D-AA93-442A-BCB8-0F29CDD1418A}"/>
    <cellStyle name="Currency 5 3 3 4 2 3" xfId="12693" xr:uid="{4DB4AD57-D73C-4D30-9C30-1135A106FAF6}"/>
    <cellStyle name="Currency 5 3 3 4 3" xfId="5483" xr:uid="{00000000-0005-0000-0000-0000FD0C0000}"/>
    <cellStyle name="Currency 5 3 3 4 3 2" xfId="14765" xr:uid="{E8548DC3-FAA3-4258-8327-128EBB946C00}"/>
    <cellStyle name="Currency 5 3 3 4 4" xfId="10548" xr:uid="{3C3BA50A-6AE6-489D-BE2E-0B8B29656A2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23" xr:uid="{DA45603F-A37C-45D2-BC3D-C30EB18055EE}"/>
    <cellStyle name="Currency 5 3 3 5 2 3" xfId="13106" xr:uid="{7B0E5670-7E45-4720-82C5-1B55672B648D}"/>
    <cellStyle name="Currency 5 3 3 5 3" xfId="5896" xr:uid="{00000000-0005-0000-0000-0000010D0000}"/>
    <cellStyle name="Currency 5 3 3 5 3 2" xfId="15178" xr:uid="{5AC58938-D4A8-4838-B276-FC34A84A6A4F}"/>
    <cellStyle name="Currency 5 3 3 5 4" xfId="10961" xr:uid="{8268DEE9-6749-48D5-A8BB-0312EC2210C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36" xr:uid="{A0A03239-92C7-4CDE-A1D1-DD58F20AE8B9}"/>
    <cellStyle name="Currency 5 3 3 6 2 3" xfId="13519" xr:uid="{E51A48AF-74F7-4987-B7C5-3E06B4F32EC1}"/>
    <cellStyle name="Currency 5 3 3 6 3" xfId="6309" xr:uid="{00000000-0005-0000-0000-0000050D0000}"/>
    <cellStyle name="Currency 5 3 3 6 3 2" xfId="15591" xr:uid="{65BCF6BC-C97D-424A-A3D2-51B3BB3E9D80}"/>
    <cellStyle name="Currency 5 3 3 6 4" xfId="11374" xr:uid="{9F9CCD14-AEDE-44B9-A57C-F0C83857ABEF}"/>
    <cellStyle name="Currency 5 3 3 7" xfId="2438" xr:uid="{00000000-0005-0000-0000-0000060D0000}"/>
    <cellStyle name="Currency 5 3 3 7 2" xfId="6722" xr:uid="{00000000-0005-0000-0000-0000070D0000}"/>
    <cellStyle name="Currency 5 3 3 7 2 2" xfId="16004" xr:uid="{49202ABE-E1C7-4C29-A22F-3B81A1E19D09}"/>
    <cellStyle name="Currency 5 3 3 7 3" xfId="11787" xr:uid="{BBFAABB1-B953-45CC-86D6-017A490AA573}"/>
    <cellStyle name="Currency 5 3 3 8" xfId="2735" xr:uid="{00000000-0005-0000-0000-0000080D0000}"/>
    <cellStyle name="Currency 5 3 3 9" xfId="2816" xr:uid="{00000000-0005-0000-0000-0000090D0000}"/>
    <cellStyle name="Currency 5 3 3 9 2" xfId="7039" xr:uid="{00000000-0005-0000-0000-00000A0D0000}"/>
    <cellStyle name="Currency 5 3 3 9 2 2" xfId="16321" xr:uid="{12739416-E26F-4AEE-BEB7-46D163CD8B89}"/>
    <cellStyle name="Currency 5 3 3 9 3" xfId="12104" xr:uid="{CF89A5FA-000B-4319-825F-D4CE4BAC3F94}"/>
    <cellStyle name="Currency 5 3 4" xfId="216" xr:uid="{00000000-0005-0000-0000-00000B0D0000}"/>
    <cellStyle name="Currency 5 3 4 10" xfId="9723" xr:uid="{27C59F0B-916F-4E99-AAB1-03FF4689E1A3}"/>
    <cellStyle name="Currency 5 3 4 11" xfId="8890" xr:uid="{1EB2B126-C24D-47E9-9B8D-6F30D17FDCB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499" xr:uid="{D78E1A03-4F18-4252-B662-43AD96017D8A}"/>
    <cellStyle name="Currency 5 3 4 2 2 3" xfId="12282" xr:uid="{F257EB54-10DA-4D59-A7F8-1908C2848B22}"/>
    <cellStyle name="Currency 5 3 4 2 3" xfId="5072" xr:uid="{00000000-0005-0000-0000-00000F0D0000}"/>
    <cellStyle name="Currency 5 3 4 2 3 2" xfId="14354" xr:uid="{A1276A55-CD72-447D-B315-D8838F1CB2FC}"/>
    <cellStyle name="Currency 5 3 4 2 4" xfId="10137" xr:uid="{EF95E805-24B6-4D52-8569-71D1488635B5}"/>
    <cellStyle name="Currency 5 3 4 2 5" xfId="9307" xr:uid="{821D8F21-118B-4E71-9679-CBA261063CF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12" xr:uid="{A10B9FB8-B9ED-484F-B379-77D704D2021E}"/>
    <cellStyle name="Currency 5 3 4 3 2 3" xfId="12695" xr:uid="{D65A6613-375B-4FCB-B69F-5A0A5DE8B7A9}"/>
    <cellStyle name="Currency 5 3 4 3 3" xfId="5485" xr:uid="{00000000-0005-0000-0000-0000130D0000}"/>
    <cellStyle name="Currency 5 3 4 3 3 2" xfId="14767" xr:uid="{AAA9DF4D-D546-46FA-B9D1-EB6D5F8EA3F9}"/>
    <cellStyle name="Currency 5 3 4 3 4" xfId="10550" xr:uid="{D8EED59D-2EA7-4D29-923E-22EB76E33ECA}"/>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25" xr:uid="{EE517896-6B23-457B-8962-17155632CADC}"/>
    <cellStyle name="Currency 5 3 4 4 2 3" xfId="13108" xr:uid="{EA417221-1C44-4224-BB17-7BBB119554CD}"/>
    <cellStyle name="Currency 5 3 4 4 3" xfId="5898" xr:uid="{00000000-0005-0000-0000-0000170D0000}"/>
    <cellStyle name="Currency 5 3 4 4 3 2" xfId="15180" xr:uid="{38083A1A-1A76-48BC-8899-C0CDE10748B8}"/>
    <cellStyle name="Currency 5 3 4 4 4" xfId="10963" xr:uid="{D7466F13-27EB-494E-A671-63BFD7847168}"/>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38" xr:uid="{C5A09D5B-025B-453B-8277-38DAD85D4F47}"/>
    <cellStyle name="Currency 5 3 4 5 2 3" xfId="13521" xr:uid="{1A6C83B0-D88C-4AAC-A1F1-52DC301F44AB}"/>
    <cellStyle name="Currency 5 3 4 5 3" xfId="6311" xr:uid="{00000000-0005-0000-0000-00001B0D0000}"/>
    <cellStyle name="Currency 5 3 4 5 3 2" xfId="15593" xr:uid="{F483BB6C-5355-414C-96C4-E94C997CAA98}"/>
    <cellStyle name="Currency 5 3 4 5 4" xfId="11376" xr:uid="{63FA8FA5-FDA3-41C9-9ECD-AEF52621B759}"/>
    <cellStyle name="Currency 5 3 4 6" xfId="2440" xr:uid="{00000000-0005-0000-0000-00001C0D0000}"/>
    <cellStyle name="Currency 5 3 4 6 2" xfId="6724" xr:uid="{00000000-0005-0000-0000-00001D0D0000}"/>
    <cellStyle name="Currency 5 3 4 6 2 2" xfId="16006" xr:uid="{B5EB3DF3-478C-4CAA-9D7D-D3F8998D6B7A}"/>
    <cellStyle name="Currency 5 3 4 6 3" xfId="11789" xr:uid="{BD3E73D2-7246-40D3-9991-9CD21D5A4B00}"/>
    <cellStyle name="Currency 5 3 4 7" xfId="2737" xr:uid="{00000000-0005-0000-0000-00001E0D0000}"/>
    <cellStyle name="Currency 5 3 4 8" xfId="2818" xr:uid="{00000000-0005-0000-0000-00001F0D0000}"/>
    <cellStyle name="Currency 5 3 4 8 2" xfId="7041" xr:uid="{00000000-0005-0000-0000-0000200D0000}"/>
    <cellStyle name="Currency 5 3 4 8 2 2" xfId="16323" xr:uid="{61931A07-FD46-4FB6-A2B5-F22EA4B7536B}"/>
    <cellStyle name="Currency 5 3 4 8 3" xfId="12106" xr:uid="{C3D0DE08-3574-41A8-8089-29B7793D0824}"/>
    <cellStyle name="Currency 5 3 4 9" xfId="4658" xr:uid="{00000000-0005-0000-0000-0000210D0000}"/>
    <cellStyle name="Currency 5 3 4 9 2" xfId="13940" xr:uid="{C500CE7F-3698-472A-A10E-C8FAD30D2D6F}"/>
    <cellStyle name="Currency 5 3 5" xfId="217" xr:uid="{00000000-0005-0000-0000-0000220D0000}"/>
    <cellStyle name="Currency 5 3 5 10" xfId="9724" xr:uid="{315775DB-B054-4D89-9CB0-688DC5286B74}"/>
    <cellStyle name="Currency 5 3 5 11" xfId="8891" xr:uid="{F6E23795-AE1B-494D-9644-B811118D1A5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00" xr:uid="{EA5BBDAC-1435-4618-828F-48D13D60444E}"/>
    <cellStyle name="Currency 5 3 5 2 2 3" xfId="12283" xr:uid="{3A29FA4D-03F2-49E5-ADC6-683A8F09BFF1}"/>
    <cellStyle name="Currency 5 3 5 2 3" xfId="5073" xr:uid="{00000000-0005-0000-0000-0000260D0000}"/>
    <cellStyle name="Currency 5 3 5 2 3 2" xfId="14355" xr:uid="{CE19CBB8-A4F1-4C86-9CA7-4A836D4EC2F9}"/>
    <cellStyle name="Currency 5 3 5 2 4" xfId="10138" xr:uid="{9C2C63A6-2798-4BA5-8949-7975004EAC29}"/>
    <cellStyle name="Currency 5 3 5 2 5" xfId="9308" xr:uid="{AD1758AB-46BE-4E0F-A721-0E22C5BDA25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13" xr:uid="{DEB05FA4-21BE-4DA5-9B2D-49F360E9CF96}"/>
    <cellStyle name="Currency 5 3 5 3 2 3" xfId="12696" xr:uid="{223848C1-1423-4D6E-86B1-C8F94BC69F3C}"/>
    <cellStyle name="Currency 5 3 5 3 3" xfId="5486" xr:uid="{00000000-0005-0000-0000-00002A0D0000}"/>
    <cellStyle name="Currency 5 3 5 3 3 2" xfId="14768" xr:uid="{B178AA71-4AD9-4FC4-9A52-2B80A490FF2A}"/>
    <cellStyle name="Currency 5 3 5 3 4" xfId="10551" xr:uid="{1CC22327-560A-4640-B45E-B7C0C16465A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26" xr:uid="{1001EB31-1DF4-4763-9FFD-3D18BB62AA60}"/>
    <cellStyle name="Currency 5 3 5 4 2 3" xfId="13109" xr:uid="{CAAD5CBF-5941-486F-AED1-BC95FD4CC075}"/>
    <cellStyle name="Currency 5 3 5 4 3" xfId="5899" xr:uid="{00000000-0005-0000-0000-00002E0D0000}"/>
    <cellStyle name="Currency 5 3 5 4 3 2" xfId="15181" xr:uid="{75FDEE2B-84F6-4B77-A2E3-A0D58A8F6AEB}"/>
    <cellStyle name="Currency 5 3 5 4 4" xfId="10964" xr:uid="{691F6078-0430-481D-A31F-CA30FB1208B4}"/>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39" xr:uid="{ACF28E28-8D85-416E-9FC6-70ADFF428F0F}"/>
    <cellStyle name="Currency 5 3 5 5 2 3" xfId="13522" xr:uid="{68067D0B-CE75-4273-AD4B-D61212795AE4}"/>
    <cellStyle name="Currency 5 3 5 5 3" xfId="6312" xr:uid="{00000000-0005-0000-0000-0000320D0000}"/>
    <cellStyle name="Currency 5 3 5 5 3 2" xfId="15594" xr:uid="{146FBC04-709B-41F0-9AE1-30781BB4B00D}"/>
    <cellStyle name="Currency 5 3 5 5 4" xfId="11377" xr:uid="{A729B28F-E955-4AE3-9812-4CF319797AC6}"/>
    <cellStyle name="Currency 5 3 5 6" xfId="2441" xr:uid="{00000000-0005-0000-0000-0000330D0000}"/>
    <cellStyle name="Currency 5 3 5 6 2" xfId="6725" xr:uid="{00000000-0005-0000-0000-0000340D0000}"/>
    <cellStyle name="Currency 5 3 5 6 2 2" xfId="16007" xr:uid="{1FA0A404-DA0B-481F-9243-5FB0BDA0031C}"/>
    <cellStyle name="Currency 5 3 5 6 3" xfId="11790" xr:uid="{9B00310B-7522-4901-AFEE-86599023A850}"/>
    <cellStyle name="Currency 5 3 5 7" xfId="2738" xr:uid="{00000000-0005-0000-0000-0000350D0000}"/>
    <cellStyle name="Currency 5 3 5 8" xfId="2819" xr:uid="{00000000-0005-0000-0000-0000360D0000}"/>
    <cellStyle name="Currency 5 3 5 8 2" xfId="7042" xr:uid="{00000000-0005-0000-0000-0000370D0000}"/>
    <cellStyle name="Currency 5 3 5 8 2 2" xfId="16324" xr:uid="{0B92A4A7-1EFC-4D7B-8BBD-42371FBAB43E}"/>
    <cellStyle name="Currency 5 3 5 8 3" xfId="12107" xr:uid="{80CFF10A-54C2-4F8E-BCC2-A62911402669}"/>
    <cellStyle name="Currency 5 3 5 9" xfId="4659" xr:uid="{00000000-0005-0000-0000-0000380D0000}"/>
    <cellStyle name="Currency 5 3 5 9 2" xfId="13941" xr:uid="{2786A072-09A6-4803-B065-2849A2490E14}"/>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42" xr:uid="{D75560DC-01A7-4FAF-AC0E-C232C55ACEA7}"/>
    <cellStyle name="Currency 5 5 11" xfId="9725" xr:uid="{C6F12088-1C12-4680-ABE6-73429E609A1B}"/>
    <cellStyle name="Currency 5 5 12" xfId="8892" xr:uid="{1438B211-B217-463C-9A59-7E302743016E}"/>
    <cellStyle name="Currency 5 5 2" xfId="220" xr:uid="{00000000-0005-0000-0000-00003D0D0000}"/>
    <cellStyle name="Currency 5 5 2 10" xfId="9726" xr:uid="{3236F1B2-B028-474F-BFDE-0E0F3AF1103A}"/>
    <cellStyle name="Currency 5 5 2 11" xfId="8893" xr:uid="{89AA8C61-012F-4339-BB7E-E06D1C6CF86B}"/>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02" xr:uid="{82DEA36B-FF31-4A51-A11A-DBCAA9F48D4C}"/>
    <cellStyle name="Currency 5 5 2 2 2 3" xfId="12285" xr:uid="{C8162775-9D23-4082-AD9F-8781339A4A25}"/>
    <cellStyle name="Currency 5 5 2 2 3" xfId="5075" xr:uid="{00000000-0005-0000-0000-0000410D0000}"/>
    <cellStyle name="Currency 5 5 2 2 3 2" xfId="14357" xr:uid="{F9EB45DA-A25F-450F-B39D-E8CC2C103551}"/>
    <cellStyle name="Currency 5 5 2 2 4" xfId="10140" xr:uid="{2BD5478D-4F72-4BC4-85F4-463E90BB4023}"/>
    <cellStyle name="Currency 5 5 2 2 5" xfId="9310" xr:uid="{5119F8D7-02AD-4E18-B699-5F95D8D5A44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15" xr:uid="{32145AED-2C61-4B8B-8D18-EBB329ADD45D}"/>
    <cellStyle name="Currency 5 5 2 3 2 3" xfId="12698" xr:uid="{5A30475E-BB64-4813-B682-B5AB0AF892C2}"/>
    <cellStyle name="Currency 5 5 2 3 3" xfId="5488" xr:uid="{00000000-0005-0000-0000-0000450D0000}"/>
    <cellStyle name="Currency 5 5 2 3 3 2" xfId="14770" xr:uid="{FA029D78-F728-47E9-92FE-1CAC252DE299}"/>
    <cellStyle name="Currency 5 5 2 3 4" xfId="10553" xr:uid="{6AD5C012-34A7-4573-B676-8C1AC92A465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28" xr:uid="{85C7441D-2F5D-4E56-8993-253E9B0D5FE0}"/>
    <cellStyle name="Currency 5 5 2 4 2 3" xfId="13111" xr:uid="{CE456BF3-F658-47F9-9B27-759BA39E830E}"/>
    <cellStyle name="Currency 5 5 2 4 3" xfId="5901" xr:uid="{00000000-0005-0000-0000-0000490D0000}"/>
    <cellStyle name="Currency 5 5 2 4 3 2" xfId="15183" xr:uid="{7BEFE08F-2392-4E62-9A34-1BF306E705B8}"/>
    <cellStyle name="Currency 5 5 2 4 4" xfId="10966" xr:uid="{48A297AD-D3CF-4702-97F0-12481D6AE73F}"/>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41" xr:uid="{D501523C-51A1-4972-9A57-30BC650D1CE2}"/>
    <cellStyle name="Currency 5 5 2 5 2 3" xfId="13524" xr:uid="{948026D0-730E-46F6-8F5A-6CE5AE140BC3}"/>
    <cellStyle name="Currency 5 5 2 5 3" xfId="6314" xr:uid="{00000000-0005-0000-0000-00004D0D0000}"/>
    <cellStyle name="Currency 5 5 2 5 3 2" xfId="15596" xr:uid="{AE61DBF0-B606-4E12-96CF-CFB631B24BF1}"/>
    <cellStyle name="Currency 5 5 2 5 4" xfId="11379" xr:uid="{20A8E593-E6E1-4916-B7E6-FA6ED965070A}"/>
    <cellStyle name="Currency 5 5 2 6" xfId="2443" xr:uid="{00000000-0005-0000-0000-00004E0D0000}"/>
    <cellStyle name="Currency 5 5 2 6 2" xfId="6727" xr:uid="{00000000-0005-0000-0000-00004F0D0000}"/>
    <cellStyle name="Currency 5 5 2 6 2 2" xfId="16009" xr:uid="{437D6AAE-2C17-4B5C-BEAD-1A600C6E0DB8}"/>
    <cellStyle name="Currency 5 5 2 6 3" xfId="11792" xr:uid="{E0F68ED2-0D65-415E-B108-B52BFF148E09}"/>
    <cellStyle name="Currency 5 5 2 7" xfId="2740" xr:uid="{00000000-0005-0000-0000-0000500D0000}"/>
    <cellStyle name="Currency 5 5 2 8" xfId="2821" xr:uid="{00000000-0005-0000-0000-0000510D0000}"/>
    <cellStyle name="Currency 5 5 2 8 2" xfId="7044" xr:uid="{00000000-0005-0000-0000-0000520D0000}"/>
    <cellStyle name="Currency 5 5 2 8 2 2" xfId="16326" xr:uid="{80769137-8289-4A84-ABDF-82E7833F4CEC}"/>
    <cellStyle name="Currency 5 5 2 8 3" xfId="12109" xr:uid="{21EEA119-5F2B-4858-96D4-D8A16743C2D4}"/>
    <cellStyle name="Currency 5 5 2 9" xfId="4661" xr:uid="{00000000-0005-0000-0000-0000530D0000}"/>
    <cellStyle name="Currency 5 5 2 9 2" xfId="13943" xr:uid="{CE8DC10B-AE4F-4CB6-9F96-AA347AB40315}"/>
    <cellStyle name="Currency 5 5 3" xfId="745" xr:uid="{00000000-0005-0000-0000-0000540D0000}"/>
    <cellStyle name="Currency 5 5 3 2" xfId="2997" xr:uid="{00000000-0005-0000-0000-0000550D0000}"/>
    <cellStyle name="Currency 5 5 3 2 2" xfId="7219" xr:uid="{00000000-0005-0000-0000-0000560D0000}"/>
    <cellStyle name="Currency 5 5 3 2 2 2" xfId="16501" xr:uid="{B0DEC58C-EAD0-4D79-BA34-364589B935C1}"/>
    <cellStyle name="Currency 5 5 3 2 3" xfId="12284" xr:uid="{2A0B3713-1246-4851-AA2F-A638D3D685B3}"/>
    <cellStyle name="Currency 5 5 3 3" xfId="5074" xr:uid="{00000000-0005-0000-0000-0000570D0000}"/>
    <cellStyle name="Currency 5 5 3 3 2" xfId="14356" xr:uid="{C8533806-23B8-4F87-887A-255A035F4546}"/>
    <cellStyle name="Currency 5 5 3 4" xfId="10139" xr:uid="{824B1FCA-4DAD-4B25-B833-4696651F97C7}"/>
    <cellStyle name="Currency 5 5 3 5" xfId="9309" xr:uid="{6AD7B484-F3A0-4329-9D44-8560EBA88532}"/>
    <cellStyle name="Currency 5 5 4" xfId="1179" xr:uid="{00000000-0005-0000-0000-0000580D0000}"/>
    <cellStyle name="Currency 5 5 4 2" xfId="3410" xr:uid="{00000000-0005-0000-0000-0000590D0000}"/>
    <cellStyle name="Currency 5 5 4 2 2" xfId="7632" xr:uid="{00000000-0005-0000-0000-00005A0D0000}"/>
    <cellStyle name="Currency 5 5 4 2 2 2" xfId="16914" xr:uid="{56E82737-7CC7-4014-9D78-712B5481EBCA}"/>
    <cellStyle name="Currency 5 5 4 2 3" xfId="12697" xr:uid="{CFB1B4DE-B3E2-46F4-B48E-1F9ADE20B96E}"/>
    <cellStyle name="Currency 5 5 4 3" xfId="5487" xr:uid="{00000000-0005-0000-0000-00005B0D0000}"/>
    <cellStyle name="Currency 5 5 4 3 2" xfId="14769" xr:uid="{C012FF64-E2B2-44D5-8D60-0A28E7EFFACC}"/>
    <cellStyle name="Currency 5 5 4 4" xfId="10552" xr:uid="{B324C492-25B2-4DA1-927E-DF54D0BE9C78}"/>
    <cellStyle name="Currency 5 5 5" xfId="1593" xr:uid="{00000000-0005-0000-0000-00005C0D0000}"/>
    <cellStyle name="Currency 5 5 5 2" xfId="3823" xr:uid="{00000000-0005-0000-0000-00005D0D0000}"/>
    <cellStyle name="Currency 5 5 5 2 2" xfId="8045" xr:uid="{00000000-0005-0000-0000-00005E0D0000}"/>
    <cellStyle name="Currency 5 5 5 2 2 2" xfId="17327" xr:uid="{D4812264-1586-4161-B1C3-AFD3417C885F}"/>
    <cellStyle name="Currency 5 5 5 2 3" xfId="13110" xr:uid="{2997AEC0-BCB9-44A7-A90A-E0FA9EE5C8DB}"/>
    <cellStyle name="Currency 5 5 5 3" xfId="5900" xr:uid="{00000000-0005-0000-0000-00005F0D0000}"/>
    <cellStyle name="Currency 5 5 5 3 2" xfId="15182" xr:uid="{BE6DC642-2D0E-47D7-856C-E970B67CF17B}"/>
    <cellStyle name="Currency 5 5 5 4" xfId="10965" xr:uid="{2B0D88BF-D8F2-4178-8743-4B934C9477EE}"/>
    <cellStyle name="Currency 5 5 6" xfId="2007" xr:uid="{00000000-0005-0000-0000-0000600D0000}"/>
    <cellStyle name="Currency 5 5 6 2" xfId="4236" xr:uid="{00000000-0005-0000-0000-0000610D0000}"/>
    <cellStyle name="Currency 5 5 6 2 2" xfId="8458" xr:uid="{00000000-0005-0000-0000-0000620D0000}"/>
    <cellStyle name="Currency 5 5 6 2 2 2" xfId="17740" xr:uid="{4E5CDAC3-477D-4BAA-B1C7-E3F5C2F63235}"/>
    <cellStyle name="Currency 5 5 6 2 3" xfId="13523" xr:uid="{A8B32B47-2B66-46EC-AB2C-2B5DCA35065B}"/>
    <cellStyle name="Currency 5 5 6 3" xfId="6313" xr:uid="{00000000-0005-0000-0000-0000630D0000}"/>
    <cellStyle name="Currency 5 5 6 3 2" xfId="15595" xr:uid="{6DFAACEA-2DC4-422A-B374-3D5D389A6C7F}"/>
    <cellStyle name="Currency 5 5 6 4" xfId="11378" xr:uid="{501F7515-29B9-4DE6-AFDC-5904580F3C79}"/>
    <cellStyle name="Currency 5 5 7" xfId="2442" xr:uid="{00000000-0005-0000-0000-0000640D0000}"/>
    <cellStyle name="Currency 5 5 7 2" xfId="6726" xr:uid="{00000000-0005-0000-0000-0000650D0000}"/>
    <cellStyle name="Currency 5 5 7 2 2" xfId="16008" xr:uid="{2AEEB8CD-310C-4F46-812C-7D474AD554F4}"/>
    <cellStyle name="Currency 5 5 7 3" xfId="11791" xr:uid="{CF4F0BBA-3D17-44EE-8FFE-87FA8143D7C5}"/>
    <cellStyle name="Currency 5 5 8" xfId="2739" xr:uid="{00000000-0005-0000-0000-0000660D0000}"/>
    <cellStyle name="Currency 5 5 9" xfId="2820" xr:uid="{00000000-0005-0000-0000-0000670D0000}"/>
    <cellStyle name="Currency 5 5 9 2" xfId="7043" xr:uid="{00000000-0005-0000-0000-0000680D0000}"/>
    <cellStyle name="Currency 5 5 9 2 2" xfId="16325" xr:uid="{41ED6714-A629-4EA2-923A-6B9F5595093A}"/>
    <cellStyle name="Currency 5 5 9 3" xfId="12108" xr:uid="{502B28BE-50FA-4E46-8BC3-5B52E1E3495D}"/>
    <cellStyle name="Currency 5 6" xfId="221" xr:uid="{00000000-0005-0000-0000-0000690D0000}"/>
    <cellStyle name="Currency 5 6 10" xfId="9727" xr:uid="{BAD655A2-8DDC-4C65-94B2-F3242D1B143D}"/>
    <cellStyle name="Currency 5 6 11" xfId="8894" xr:uid="{305DCB59-4CC8-4889-9F74-883033B645AA}"/>
    <cellStyle name="Currency 5 6 2" xfId="747" xr:uid="{00000000-0005-0000-0000-00006A0D0000}"/>
    <cellStyle name="Currency 5 6 2 2" xfId="2999" xr:uid="{00000000-0005-0000-0000-00006B0D0000}"/>
    <cellStyle name="Currency 5 6 2 2 2" xfId="7221" xr:uid="{00000000-0005-0000-0000-00006C0D0000}"/>
    <cellStyle name="Currency 5 6 2 2 2 2" xfId="16503" xr:uid="{B721CAE3-B1C6-43CA-BE29-FEF80920C162}"/>
    <cellStyle name="Currency 5 6 2 2 3" xfId="12286" xr:uid="{72777B23-9DA6-4DDC-BAD8-B1D00E22FACE}"/>
    <cellStyle name="Currency 5 6 2 3" xfId="5076" xr:uid="{00000000-0005-0000-0000-00006D0D0000}"/>
    <cellStyle name="Currency 5 6 2 3 2" xfId="14358" xr:uid="{084F5EA9-86A5-45A9-95AE-5086FA2C1FE3}"/>
    <cellStyle name="Currency 5 6 2 4" xfId="10141" xr:uid="{16AFF5CA-09F5-4428-B415-1D62ECAA61E6}"/>
    <cellStyle name="Currency 5 6 2 5" xfId="9311" xr:uid="{EBB073DF-17BD-4A0B-AE9C-5EFD24F3D8B5}"/>
    <cellStyle name="Currency 5 6 3" xfId="1181" xr:uid="{00000000-0005-0000-0000-00006E0D0000}"/>
    <cellStyle name="Currency 5 6 3 2" xfId="3412" xr:uid="{00000000-0005-0000-0000-00006F0D0000}"/>
    <cellStyle name="Currency 5 6 3 2 2" xfId="7634" xr:uid="{00000000-0005-0000-0000-0000700D0000}"/>
    <cellStyle name="Currency 5 6 3 2 2 2" xfId="16916" xr:uid="{48245857-3B41-4BEE-B4B1-FC32F5899D97}"/>
    <cellStyle name="Currency 5 6 3 2 3" xfId="12699" xr:uid="{27C20193-D673-40B8-ABD0-CD88D121EEAF}"/>
    <cellStyle name="Currency 5 6 3 3" xfId="5489" xr:uid="{00000000-0005-0000-0000-0000710D0000}"/>
    <cellStyle name="Currency 5 6 3 3 2" xfId="14771" xr:uid="{47FBC857-5B82-439F-8017-4216F7976513}"/>
    <cellStyle name="Currency 5 6 3 4" xfId="10554" xr:uid="{4C0B20C7-ED59-4281-9896-9C8F7A0608C6}"/>
    <cellStyle name="Currency 5 6 4" xfId="1595" xr:uid="{00000000-0005-0000-0000-0000720D0000}"/>
    <cellStyle name="Currency 5 6 4 2" xfId="3825" xr:uid="{00000000-0005-0000-0000-0000730D0000}"/>
    <cellStyle name="Currency 5 6 4 2 2" xfId="8047" xr:uid="{00000000-0005-0000-0000-0000740D0000}"/>
    <cellStyle name="Currency 5 6 4 2 2 2" xfId="17329" xr:uid="{49DF6039-260A-49E6-85AC-876BCED41818}"/>
    <cellStyle name="Currency 5 6 4 2 3" xfId="13112" xr:uid="{62BAAB1F-7C18-4779-B702-E16D8AEE529D}"/>
    <cellStyle name="Currency 5 6 4 3" xfId="5902" xr:uid="{00000000-0005-0000-0000-0000750D0000}"/>
    <cellStyle name="Currency 5 6 4 3 2" xfId="15184" xr:uid="{6E1A8633-BA8C-4654-A81C-64A53642D4E8}"/>
    <cellStyle name="Currency 5 6 4 4" xfId="10967" xr:uid="{5E1D23BD-B6E9-4BB7-866F-D885A4EFF492}"/>
    <cellStyle name="Currency 5 6 5" xfId="2009" xr:uid="{00000000-0005-0000-0000-0000760D0000}"/>
    <cellStyle name="Currency 5 6 5 2" xfId="4238" xr:uid="{00000000-0005-0000-0000-0000770D0000}"/>
    <cellStyle name="Currency 5 6 5 2 2" xfId="8460" xr:uid="{00000000-0005-0000-0000-0000780D0000}"/>
    <cellStyle name="Currency 5 6 5 2 2 2" xfId="17742" xr:uid="{3D092D28-0335-4594-9056-EEA172F0F678}"/>
    <cellStyle name="Currency 5 6 5 2 3" xfId="13525" xr:uid="{577DC26B-45A7-47A7-809F-0D7C5EAFE20C}"/>
    <cellStyle name="Currency 5 6 5 3" xfId="6315" xr:uid="{00000000-0005-0000-0000-0000790D0000}"/>
    <cellStyle name="Currency 5 6 5 3 2" xfId="15597" xr:uid="{E1E94BF6-15AA-4603-8BFE-AE71CB02CD7D}"/>
    <cellStyle name="Currency 5 6 5 4" xfId="11380" xr:uid="{6F580749-8559-475E-BD1E-F8D886532B99}"/>
    <cellStyle name="Currency 5 6 6" xfId="2444" xr:uid="{00000000-0005-0000-0000-00007A0D0000}"/>
    <cellStyle name="Currency 5 6 6 2" xfId="6728" xr:uid="{00000000-0005-0000-0000-00007B0D0000}"/>
    <cellStyle name="Currency 5 6 6 2 2" xfId="16010" xr:uid="{33593B83-4ACB-43FC-9161-EB5F8CCC9655}"/>
    <cellStyle name="Currency 5 6 6 3" xfId="11793" xr:uid="{E74715C5-8453-462E-A845-058991CB7018}"/>
    <cellStyle name="Currency 5 6 7" xfId="2741" xr:uid="{00000000-0005-0000-0000-00007C0D0000}"/>
    <cellStyle name="Currency 5 6 8" xfId="2822" xr:uid="{00000000-0005-0000-0000-00007D0D0000}"/>
    <cellStyle name="Currency 5 6 8 2" xfId="7045" xr:uid="{00000000-0005-0000-0000-00007E0D0000}"/>
    <cellStyle name="Currency 5 6 8 2 2" xfId="16327" xr:uid="{C8718FC3-28DE-47AF-A3B7-CD4E8607FDD8}"/>
    <cellStyle name="Currency 5 6 8 3" xfId="12110" xr:uid="{2419E264-F793-4A33-BA33-93F68E7D9EE8}"/>
    <cellStyle name="Currency 5 6 9" xfId="4662" xr:uid="{00000000-0005-0000-0000-00007F0D0000}"/>
    <cellStyle name="Currency 5 6 9 2" xfId="13944" xr:uid="{0E7553D8-EE65-4E6D-85E1-DA4A1BA07186}"/>
    <cellStyle name="Currency 5 7" xfId="222" xr:uid="{00000000-0005-0000-0000-0000800D0000}"/>
    <cellStyle name="Currency 5 7 10" xfId="9728" xr:uid="{49004306-7229-4B0E-BAC8-A4DEDF8E2D7F}"/>
    <cellStyle name="Currency 5 7 11" xfId="8895" xr:uid="{63E55691-EE30-4959-84E0-0CB305862DDB}"/>
    <cellStyle name="Currency 5 7 2" xfId="748" xr:uid="{00000000-0005-0000-0000-0000810D0000}"/>
    <cellStyle name="Currency 5 7 2 2" xfId="3000" xr:uid="{00000000-0005-0000-0000-0000820D0000}"/>
    <cellStyle name="Currency 5 7 2 2 2" xfId="7222" xr:uid="{00000000-0005-0000-0000-0000830D0000}"/>
    <cellStyle name="Currency 5 7 2 2 2 2" xfId="16504" xr:uid="{67DF4F31-E2AA-4EE2-9BA7-0EB09F390D6E}"/>
    <cellStyle name="Currency 5 7 2 2 3" xfId="12287" xr:uid="{774A4A0A-7AE5-40C3-B685-F21BEE63F87B}"/>
    <cellStyle name="Currency 5 7 2 3" xfId="5077" xr:uid="{00000000-0005-0000-0000-0000840D0000}"/>
    <cellStyle name="Currency 5 7 2 3 2" xfId="14359" xr:uid="{DDEBF1B2-1341-435F-BBB8-DD5AFDB415B9}"/>
    <cellStyle name="Currency 5 7 2 4" xfId="10142" xr:uid="{FBF9F962-19BD-44D8-8454-1F2DE3D4C6A4}"/>
    <cellStyle name="Currency 5 7 2 5" xfId="9312" xr:uid="{8A11A1B0-2D22-4E74-BA3A-BBE111C6CF49}"/>
    <cellStyle name="Currency 5 7 3" xfId="1182" xr:uid="{00000000-0005-0000-0000-0000850D0000}"/>
    <cellStyle name="Currency 5 7 3 2" xfId="3413" xr:uid="{00000000-0005-0000-0000-0000860D0000}"/>
    <cellStyle name="Currency 5 7 3 2 2" xfId="7635" xr:uid="{00000000-0005-0000-0000-0000870D0000}"/>
    <cellStyle name="Currency 5 7 3 2 2 2" xfId="16917" xr:uid="{59BF55DB-AE4B-4874-89E3-D14CD95B852C}"/>
    <cellStyle name="Currency 5 7 3 2 3" xfId="12700" xr:uid="{7A3025C7-BD17-43B2-B5EB-52D54B7A913B}"/>
    <cellStyle name="Currency 5 7 3 3" xfId="5490" xr:uid="{00000000-0005-0000-0000-0000880D0000}"/>
    <cellStyle name="Currency 5 7 3 3 2" xfId="14772" xr:uid="{5A83A497-1328-4096-BFF8-52A970133F74}"/>
    <cellStyle name="Currency 5 7 3 4" xfId="10555" xr:uid="{8ABB5A9B-A950-4EFD-9DBB-0CDBD2A4F603}"/>
    <cellStyle name="Currency 5 7 4" xfId="1596" xr:uid="{00000000-0005-0000-0000-0000890D0000}"/>
    <cellStyle name="Currency 5 7 4 2" xfId="3826" xr:uid="{00000000-0005-0000-0000-00008A0D0000}"/>
    <cellStyle name="Currency 5 7 4 2 2" xfId="8048" xr:uid="{00000000-0005-0000-0000-00008B0D0000}"/>
    <cellStyle name="Currency 5 7 4 2 2 2" xfId="17330" xr:uid="{3995ED73-603C-4D71-B288-0A305FACF4FE}"/>
    <cellStyle name="Currency 5 7 4 2 3" xfId="13113" xr:uid="{E49F83F5-92DB-437E-A725-1225E58EFE50}"/>
    <cellStyle name="Currency 5 7 4 3" xfId="5903" xr:uid="{00000000-0005-0000-0000-00008C0D0000}"/>
    <cellStyle name="Currency 5 7 4 3 2" xfId="15185" xr:uid="{3ACB053B-AA24-4A2E-A3D4-D41029DEF259}"/>
    <cellStyle name="Currency 5 7 4 4" xfId="10968" xr:uid="{0B64FF87-D263-42BB-B18E-44D9BAE26E1D}"/>
    <cellStyle name="Currency 5 7 5" xfId="2010" xr:uid="{00000000-0005-0000-0000-00008D0D0000}"/>
    <cellStyle name="Currency 5 7 5 2" xfId="4239" xr:uid="{00000000-0005-0000-0000-00008E0D0000}"/>
    <cellStyle name="Currency 5 7 5 2 2" xfId="8461" xr:uid="{00000000-0005-0000-0000-00008F0D0000}"/>
    <cellStyle name="Currency 5 7 5 2 2 2" xfId="17743" xr:uid="{563AB421-9144-4430-9222-1909D665C6DA}"/>
    <cellStyle name="Currency 5 7 5 2 3" xfId="13526" xr:uid="{8545EA1F-DA7B-418A-9633-9FA4E31D3B60}"/>
    <cellStyle name="Currency 5 7 5 3" xfId="6316" xr:uid="{00000000-0005-0000-0000-0000900D0000}"/>
    <cellStyle name="Currency 5 7 5 3 2" xfId="15598" xr:uid="{6792835B-07F3-499E-9AED-BFE12ACDAD77}"/>
    <cellStyle name="Currency 5 7 5 4" xfId="11381" xr:uid="{0336CAB1-6240-486D-B4E4-177EC94AC301}"/>
    <cellStyle name="Currency 5 7 6" xfId="2445" xr:uid="{00000000-0005-0000-0000-0000910D0000}"/>
    <cellStyle name="Currency 5 7 6 2" xfId="6729" xr:uid="{00000000-0005-0000-0000-0000920D0000}"/>
    <cellStyle name="Currency 5 7 6 2 2" xfId="16011" xr:uid="{F9DCBFD8-F7E6-4E86-B9F6-0F621876DCA5}"/>
    <cellStyle name="Currency 5 7 6 3" xfId="11794" xr:uid="{4BC0CFE3-3555-45DC-9024-4F8E4C39AC0C}"/>
    <cellStyle name="Currency 5 7 7" xfId="2742" xr:uid="{00000000-0005-0000-0000-0000930D0000}"/>
    <cellStyle name="Currency 5 7 8" xfId="2823" xr:uid="{00000000-0005-0000-0000-0000940D0000}"/>
    <cellStyle name="Currency 5 7 8 2" xfId="7046" xr:uid="{00000000-0005-0000-0000-0000950D0000}"/>
    <cellStyle name="Currency 5 7 8 2 2" xfId="16328" xr:uid="{FC71C88D-2AD8-4CF5-8B3D-A8B5C3877B1C}"/>
    <cellStyle name="Currency 5 7 8 3" xfId="12111" xr:uid="{9DC14696-A77C-49D7-9A8C-17888765C169}"/>
    <cellStyle name="Currency 5 7 9" xfId="4663" xr:uid="{00000000-0005-0000-0000-0000960D0000}"/>
    <cellStyle name="Currency 5 7 9 2" xfId="13945" xr:uid="{A2EA99DC-4053-4F33-A073-2BC797D4584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13" xr:uid="{F29209A3-2136-46E2-8516-D27F4BD40EE6}"/>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12" xr:uid="{71934689-7F38-4575-88F2-7FFF83FBC644}"/>
    <cellStyle name="Normal 12 10 3" xfId="11795" xr:uid="{2B3602A9-2C83-470E-B76B-97B6EB67319A}"/>
    <cellStyle name="Normal 12 11" xfId="4664" xr:uid="{00000000-0005-0000-0000-0000CC0D0000}"/>
    <cellStyle name="Normal 12 11 2" xfId="13946" xr:uid="{12400652-6835-4E54-AE42-A5B13F599043}"/>
    <cellStyle name="Normal 12 12" xfId="9729" xr:uid="{CF1A9AA7-0898-49B8-A690-3CC186C58D08}"/>
    <cellStyle name="Normal 12 13" xfId="8896" xr:uid="{0BD79D28-2034-45C6-8CB2-30B1304874E5}"/>
    <cellStyle name="Normal 12 2" xfId="260" xr:uid="{00000000-0005-0000-0000-0000CD0D0000}"/>
    <cellStyle name="Normal 12 2 10" xfId="9730" xr:uid="{AFC299DE-5A65-40B4-9F70-D1EF4E6F4073}"/>
    <cellStyle name="Normal 12 2 11" xfId="8897" xr:uid="{738DF306-6C58-46AA-BEE6-4F058F735136}"/>
    <cellStyle name="Normal 12 2 2" xfId="261" xr:uid="{00000000-0005-0000-0000-0000CE0D0000}"/>
    <cellStyle name="Normal 12 2 2 10" xfId="8898" xr:uid="{CF2B668B-12CE-4164-8B82-87D37E17D55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08" xr:uid="{1CB07021-D4D6-42D0-84B7-C7D46FF45BEB}"/>
    <cellStyle name="Normal 12 2 2 2 2 2 3" xfId="12291" xr:uid="{61F44CD0-F4C0-47ED-8E4E-FBD5DCBA49EF}"/>
    <cellStyle name="Normal 12 2 2 2 2 3" xfId="5081" xr:uid="{00000000-0005-0000-0000-0000D30D0000}"/>
    <cellStyle name="Normal 12 2 2 2 2 3 2" xfId="14363" xr:uid="{020C5B34-DA80-4FA7-910A-02C20AFB3279}"/>
    <cellStyle name="Normal 12 2 2 2 2 4" xfId="10146" xr:uid="{9EA270AD-C5C0-442D-95DF-AD24761FA64F}"/>
    <cellStyle name="Normal 12 2 2 2 2 5" xfId="9317" xr:uid="{E4DFC984-B4A0-4923-8214-537429831EC9}"/>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21" xr:uid="{31F024E9-C3B8-4626-A80F-3FCFDD4143C8}"/>
    <cellStyle name="Normal 12 2 2 2 3 2 3" xfId="12704" xr:uid="{A5DCFBE2-B1C4-4DE1-BF81-9ABC2B658600}"/>
    <cellStyle name="Normal 12 2 2 2 3 3" xfId="5494" xr:uid="{00000000-0005-0000-0000-0000D70D0000}"/>
    <cellStyle name="Normal 12 2 2 2 3 3 2" xfId="14776" xr:uid="{5EC22FA8-290B-44AA-9FBA-130DF640FAB6}"/>
    <cellStyle name="Normal 12 2 2 2 3 4" xfId="10559" xr:uid="{1F3BA05B-56C4-45F5-AD88-E35D8D2671CA}"/>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34" xr:uid="{1FD1ED4F-7313-4020-ABAB-E35A4AE3038A}"/>
    <cellStyle name="Normal 12 2 2 2 4 2 3" xfId="13117" xr:uid="{62483A76-FB48-48BE-B77A-4CE732159A51}"/>
    <cellStyle name="Normal 12 2 2 2 4 3" xfId="5907" xr:uid="{00000000-0005-0000-0000-0000DB0D0000}"/>
    <cellStyle name="Normal 12 2 2 2 4 3 2" xfId="15189" xr:uid="{B381A19E-40A2-4AEA-B50B-091EBF1D01C4}"/>
    <cellStyle name="Normal 12 2 2 2 4 4" xfId="10972" xr:uid="{C3495371-51DD-4F95-B8B9-D7A5FAA3DDBB}"/>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47" xr:uid="{CE827E60-4919-420F-8376-B64BCF9E893F}"/>
    <cellStyle name="Normal 12 2 2 2 5 2 3" xfId="13530" xr:uid="{C7C4CAD6-8856-4D41-A5F4-972A96DFC238}"/>
    <cellStyle name="Normal 12 2 2 2 5 3" xfId="6320" xr:uid="{00000000-0005-0000-0000-0000DF0D0000}"/>
    <cellStyle name="Normal 12 2 2 2 5 3 2" xfId="15602" xr:uid="{99C83DCA-746F-4313-BF2E-400E96B2F6CC}"/>
    <cellStyle name="Normal 12 2 2 2 5 4" xfId="11385" xr:uid="{AFDAF91F-FDE4-436C-88D1-1FB67B60A930}"/>
    <cellStyle name="Normal 12 2 2 2 6" xfId="2450" xr:uid="{00000000-0005-0000-0000-0000E00D0000}"/>
    <cellStyle name="Normal 12 2 2 2 6 2" xfId="6733" xr:uid="{00000000-0005-0000-0000-0000E10D0000}"/>
    <cellStyle name="Normal 12 2 2 2 6 2 2" xfId="16015" xr:uid="{2AA7E648-26E4-4E5E-A02D-1B3D0E8E9EA2}"/>
    <cellStyle name="Normal 12 2 2 2 6 3" xfId="11798" xr:uid="{3F0D50AB-2944-4790-9B71-E37862FB5EB3}"/>
    <cellStyle name="Normal 12 2 2 2 7" xfId="4667" xr:uid="{00000000-0005-0000-0000-0000E20D0000}"/>
    <cellStyle name="Normal 12 2 2 2 7 2" xfId="13949" xr:uid="{F81B9725-A8FE-4A3D-BEDD-11F4A659B1B1}"/>
    <cellStyle name="Normal 12 2 2 2 8" xfId="9732" xr:uid="{18CFC059-B5D0-470C-BC39-E2253E50266F}"/>
    <cellStyle name="Normal 12 2 2 2 9" xfId="8899" xr:uid="{40479CE2-ED71-4305-8FAC-C0350972B27D}"/>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07" xr:uid="{938DE268-6AC2-4AB8-B1C2-6DE7B76225C0}"/>
    <cellStyle name="Normal 12 2 2 3 2 3" xfId="12290" xr:uid="{BA973BE6-94BA-4B4A-8AF9-45F9EA048298}"/>
    <cellStyle name="Normal 12 2 2 3 3" xfId="5080" xr:uid="{00000000-0005-0000-0000-0000E60D0000}"/>
    <cellStyle name="Normal 12 2 2 3 3 2" xfId="14362" xr:uid="{F7D5F670-F1C6-4339-BF26-91ADDC71DE84}"/>
    <cellStyle name="Normal 12 2 2 3 4" xfId="10145" xr:uid="{DEF5C3E5-C437-4C64-A9CE-7AB64A9B28CC}"/>
    <cellStyle name="Normal 12 2 2 3 5" xfId="9316" xr:uid="{57056970-BBBE-4304-B9B8-93C62FFF31BD}"/>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20" xr:uid="{35E1ECAB-0A73-4CB9-93EB-9524AA607A57}"/>
    <cellStyle name="Normal 12 2 2 4 2 3" xfId="12703" xr:uid="{AD727754-C5FF-4B1D-B88D-1B9E21B12C3E}"/>
    <cellStyle name="Normal 12 2 2 4 3" xfId="5493" xr:uid="{00000000-0005-0000-0000-0000EA0D0000}"/>
    <cellStyle name="Normal 12 2 2 4 3 2" xfId="14775" xr:uid="{B5B2DB43-D789-4DBF-BF6F-323B4166FF91}"/>
    <cellStyle name="Normal 12 2 2 4 4" xfId="10558" xr:uid="{4FC0601D-97D8-4604-80DC-FABBC5C21602}"/>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33" xr:uid="{C486EFF1-465A-4A5A-A674-DB495EABEB11}"/>
    <cellStyle name="Normal 12 2 2 5 2 3" xfId="13116" xr:uid="{BE795872-C120-41C2-95E3-9F116BA74AD4}"/>
    <cellStyle name="Normal 12 2 2 5 3" xfId="5906" xr:uid="{00000000-0005-0000-0000-0000EE0D0000}"/>
    <cellStyle name="Normal 12 2 2 5 3 2" xfId="15188" xr:uid="{A88D6BC7-9150-4E1B-9774-B1C2A2AC0024}"/>
    <cellStyle name="Normal 12 2 2 5 4" xfId="10971" xr:uid="{9A6B4B16-CD2E-4A43-82B4-CD7C99FEC904}"/>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46" xr:uid="{66B2B2FE-BCE2-4BA8-81DC-A1E83D82CADB}"/>
    <cellStyle name="Normal 12 2 2 6 2 3" xfId="13529" xr:uid="{5D2D3348-4516-48A8-9F15-79E20E49DC6B}"/>
    <cellStyle name="Normal 12 2 2 6 3" xfId="6319" xr:uid="{00000000-0005-0000-0000-0000F20D0000}"/>
    <cellStyle name="Normal 12 2 2 6 3 2" xfId="15601" xr:uid="{7EDF927F-0BBC-4A94-88A1-A91227DF2BF2}"/>
    <cellStyle name="Normal 12 2 2 6 4" xfId="11384" xr:uid="{C67D5466-4186-4BFA-900B-D09A451D4B53}"/>
    <cellStyle name="Normal 12 2 2 7" xfId="2449" xr:uid="{00000000-0005-0000-0000-0000F30D0000}"/>
    <cellStyle name="Normal 12 2 2 7 2" xfId="6732" xr:uid="{00000000-0005-0000-0000-0000F40D0000}"/>
    <cellStyle name="Normal 12 2 2 7 2 2" xfId="16014" xr:uid="{DD15F152-1245-495D-8879-C5818544E10B}"/>
    <cellStyle name="Normal 12 2 2 7 3" xfId="11797" xr:uid="{AA5EAC8A-4EDA-4B69-892E-56DDB260D6D2}"/>
    <cellStyle name="Normal 12 2 2 8" xfId="4666" xr:uid="{00000000-0005-0000-0000-0000F50D0000}"/>
    <cellStyle name="Normal 12 2 2 8 2" xfId="13948" xr:uid="{6A149CD4-952A-44EC-9E93-73FFBA868C75}"/>
    <cellStyle name="Normal 12 2 2 9" xfId="9731" xr:uid="{FA1BE92E-F61A-4D74-BEA9-456DB4D113A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09" xr:uid="{5999F059-2A2D-4A34-A058-F528442A45E6}"/>
    <cellStyle name="Normal 12 2 3 2 2 3" xfId="12292" xr:uid="{0915C5FE-86A1-48E4-87C1-D671E6B2C311}"/>
    <cellStyle name="Normal 12 2 3 2 3" xfId="5082" xr:uid="{00000000-0005-0000-0000-0000FA0D0000}"/>
    <cellStyle name="Normal 12 2 3 2 3 2" xfId="14364" xr:uid="{41AD222C-D97B-4333-8B86-70CCA8710C72}"/>
    <cellStyle name="Normal 12 2 3 2 4" xfId="10147" xr:uid="{C6EBD2E9-F2B2-4C44-8A32-66154D134A08}"/>
    <cellStyle name="Normal 12 2 3 2 5" xfId="9318" xr:uid="{E3248CA4-98C4-4F99-9D2E-D6F6CBE72D55}"/>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22" xr:uid="{AACF2880-FDF4-4229-8556-B3C12D267477}"/>
    <cellStyle name="Normal 12 2 3 3 2 3" xfId="12705" xr:uid="{B314B510-93D2-4367-864B-70629A9F5F78}"/>
    <cellStyle name="Normal 12 2 3 3 3" xfId="5495" xr:uid="{00000000-0005-0000-0000-0000FE0D0000}"/>
    <cellStyle name="Normal 12 2 3 3 3 2" xfId="14777" xr:uid="{484F2F02-A376-4B3D-B8E8-826FADC71185}"/>
    <cellStyle name="Normal 12 2 3 3 4" xfId="10560" xr:uid="{F86CEFCB-7124-44CE-9345-A27E92FA36F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35" xr:uid="{491C7160-3116-467C-8EDE-0AF082ED93FE}"/>
    <cellStyle name="Normal 12 2 3 4 2 3" xfId="13118" xr:uid="{3BD783DF-3782-4A49-B72B-B1363C8C2BF7}"/>
    <cellStyle name="Normal 12 2 3 4 3" xfId="5908" xr:uid="{00000000-0005-0000-0000-0000020E0000}"/>
    <cellStyle name="Normal 12 2 3 4 3 2" xfId="15190" xr:uid="{EDB7C026-EA37-4A88-9B77-A9A01EB69648}"/>
    <cellStyle name="Normal 12 2 3 4 4" xfId="10973" xr:uid="{DFFB4E2D-646B-4890-8718-47D267C822D8}"/>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48" xr:uid="{073C7C43-B8C9-4C98-9B68-7DC2E251A44E}"/>
    <cellStyle name="Normal 12 2 3 5 2 3" xfId="13531" xr:uid="{A31F1C82-F013-409E-A060-B23EF6DE7C58}"/>
    <cellStyle name="Normal 12 2 3 5 3" xfId="6321" xr:uid="{00000000-0005-0000-0000-0000060E0000}"/>
    <cellStyle name="Normal 12 2 3 5 3 2" xfId="15603" xr:uid="{12F5B241-077F-4642-959F-FD1781BFF362}"/>
    <cellStyle name="Normal 12 2 3 5 4" xfId="11386" xr:uid="{FDA6893B-9DAE-4865-8607-09BA8E4CF1A7}"/>
    <cellStyle name="Normal 12 2 3 6" xfId="2451" xr:uid="{00000000-0005-0000-0000-0000070E0000}"/>
    <cellStyle name="Normal 12 2 3 6 2" xfId="6734" xr:uid="{00000000-0005-0000-0000-0000080E0000}"/>
    <cellStyle name="Normal 12 2 3 6 2 2" xfId="16016" xr:uid="{AFC209DD-4C5E-4F0E-B5A6-1B5CFF208319}"/>
    <cellStyle name="Normal 12 2 3 6 3" xfId="11799" xr:uid="{CCE1B899-F3E1-4F73-880C-FE8C22807E72}"/>
    <cellStyle name="Normal 12 2 3 7" xfId="4668" xr:uid="{00000000-0005-0000-0000-0000090E0000}"/>
    <cellStyle name="Normal 12 2 3 7 2" xfId="13950" xr:uid="{9291DCB5-4F07-4BDA-8FF5-DAD4C28DFB51}"/>
    <cellStyle name="Normal 12 2 3 8" xfId="9733" xr:uid="{B388CD7D-E675-4E44-9110-DCFED3F4AB3B}"/>
    <cellStyle name="Normal 12 2 3 9" xfId="8900" xr:uid="{901C7B78-49A6-4C29-A296-E6553CBFEC8F}"/>
    <cellStyle name="Normal 12 2 4" xfId="761" xr:uid="{00000000-0005-0000-0000-00000A0E0000}"/>
    <cellStyle name="Normal 12 2 4 2" xfId="3002" xr:uid="{00000000-0005-0000-0000-00000B0E0000}"/>
    <cellStyle name="Normal 12 2 4 2 2" xfId="7224" xr:uid="{00000000-0005-0000-0000-00000C0E0000}"/>
    <cellStyle name="Normal 12 2 4 2 2 2" xfId="16506" xr:uid="{C48FE5A7-18AA-4BFA-900F-B44A3C032F42}"/>
    <cellStyle name="Normal 12 2 4 2 3" xfId="12289" xr:uid="{B9D5C3B8-973C-41E7-88CB-4AA39DCA4DCC}"/>
    <cellStyle name="Normal 12 2 4 3" xfId="5079" xr:uid="{00000000-0005-0000-0000-00000D0E0000}"/>
    <cellStyle name="Normal 12 2 4 3 2" xfId="14361" xr:uid="{E3C9CD85-CD02-41E0-8468-6190DF6F08C3}"/>
    <cellStyle name="Normal 12 2 4 4" xfId="10144" xr:uid="{DB0F0038-E722-4FE6-BBAA-E5A548EA9998}"/>
    <cellStyle name="Normal 12 2 4 5" xfId="9315" xr:uid="{F7330D6A-24D5-4396-A7A4-5F8FA41D68C3}"/>
    <cellStyle name="Normal 12 2 5" xfId="1184" xr:uid="{00000000-0005-0000-0000-00000E0E0000}"/>
    <cellStyle name="Normal 12 2 5 2" xfId="3415" xr:uid="{00000000-0005-0000-0000-00000F0E0000}"/>
    <cellStyle name="Normal 12 2 5 2 2" xfId="7637" xr:uid="{00000000-0005-0000-0000-0000100E0000}"/>
    <cellStyle name="Normal 12 2 5 2 2 2" xfId="16919" xr:uid="{BC29BBED-6BBF-4FB6-904C-5DE2C61B1712}"/>
    <cellStyle name="Normal 12 2 5 2 3" xfId="12702" xr:uid="{FC0CDEED-1740-448C-B880-51576A3E9388}"/>
    <cellStyle name="Normal 12 2 5 3" xfId="5492" xr:uid="{00000000-0005-0000-0000-0000110E0000}"/>
    <cellStyle name="Normal 12 2 5 3 2" xfId="14774" xr:uid="{9399B00D-92F0-4297-A2D5-1E2B33467F07}"/>
    <cellStyle name="Normal 12 2 5 4" xfId="10557" xr:uid="{B1A5C85A-114A-4B6B-A73F-BD7A5EF495B7}"/>
    <cellStyle name="Normal 12 2 6" xfId="1598" xr:uid="{00000000-0005-0000-0000-0000120E0000}"/>
    <cellStyle name="Normal 12 2 6 2" xfId="3828" xr:uid="{00000000-0005-0000-0000-0000130E0000}"/>
    <cellStyle name="Normal 12 2 6 2 2" xfId="8050" xr:uid="{00000000-0005-0000-0000-0000140E0000}"/>
    <cellStyle name="Normal 12 2 6 2 2 2" xfId="17332" xr:uid="{A7D9668B-AF15-41E7-8FB4-41034AF8A5D6}"/>
    <cellStyle name="Normal 12 2 6 2 3" xfId="13115" xr:uid="{BDDC1E60-2A75-4F7F-9A85-A605E22FE23A}"/>
    <cellStyle name="Normal 12 2 6 3" xfId="5905" xr:uid="{00000000-0005-0000-0000-0000150E0000}"/>
    <cellStyle name="Normal 12 2 6 3 2" xfId="15187" xr:uid="{CC07B084-5264-4266-A773-2AC34D8947C2}"/>
    <cellStyle name="Normal 12 2 6 4" xfId="10970" xr:uid="{C3226885-9DF2-40AD-AF4C-911C0196F96C}"/>
    <cellStyle name="Normal 12 2 7" xfId="2012" xr:uid="{00000000-0005-0000-0000-0000160E0000}"/>
    <cellStyle name="Normal 12 2 7 2" xfId="4241" xr:uid="{00000000-0005-0000-0000-0000170E0000}"/>
    <cellStyle name="Normal 12 2 7 2 2" xfId="8463" xr:uid="{00000000-0005-0000-0000-0000180E0000}"/>
    <cellStyle name="Normal 12 2 7 2 2 2" xfId="17745" xr:uid="{8C28A8B4-E069-4DCC-903E-885F4EF98070}"/>
    <cellStyle name="Normal 12 2 7 2 3" xfId="13528" xr:uid="{23CD51A6-CC34-47C3-A549-50601D0ED913}"/>
    <cellStyle name="Normal 12 2 7 3" xfId="6318" xr:uid="{00000000-0005-0000-0000-0000190E0000}"/>
    <cellStyle name="Normal 12 2 7 3 2" xfId="15600" xr:uid="{B5C82043-D948-4A0A-ACBD-11A03E9DC485}"/>
    <cellStyle name="Normal 12 2 7 4" xfId="11383" xr:uid="{C5265122-231E-4F71-9D74-3C3B0D5DEAB0}"/>
    <cellStyle name="Normal 12 2 8" xfId="2448" xr:uid="{00000000-0005-0000-0000-00001A0E0000}"/>
    <cellStyle name="Normal 12 2 8 2" xfId="6731" xr:uid="{00000000-0005-0000-0000-00001B0E0000}"/>
    <cellStyle name="Normal 12 2 8 2 2" xfId="16013" xr:uid="{A54D2CF7-7FA1-472E-8695-945BD12FE659}"/>
    <cellStyle name="Normal 12 2 8 3" xfId="11796" xr:uid="{AF3C0B20-0F49-410C-BAC2-69EBDEC9796A}"/>
    <cellStyle name="Normal 12 2 9" xfId="4665" xr:uid="{00000000-0005-0000-0000-00001C0E0000}"/>
    <cellStyle name="Normal 12 2 9 2" xfId="13947" xr:uid="{18566125-0913-4F8B-89A5-1FFA44F8EE3C}"/>
    <cellStyle name="Normal 12 3" xfId="264" xr:uid="{00000000-0005-0000-0000-00001D0E0000}"/>
    <cellStyle name="Normal 12 3 10" xfId="8901" xr:uid="{43DFA11C-6EA8-4D61-9D55-D2CE6309AB28}"/>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11" xr:uid="{D8D4247F-A436-4F26-8CDC-F530A4F6248A}"/>
    <cellStyle name="Normal 12 3 2 2 2 3" xfId="12294" xr:uid="{95179402-FEA7-4BC4-91F6-54DD9ACF9AF4}"/>
    <cellStyle name="Normal 12 3 2 2 3" xfId="5084" xr:uid="{00000000-0005-0000-0000-0000220E0000}"/>
    <cellStyle name="Normal 12 3 2 2 3 2" xfId="14366" xr:uid="{11040682-373D-45EE-B9B2-24C8DC4D48BF}"/>
    <cellStyle name="Normal 12 3 2 2 4" xfId="10149" xr:uid="{71F5A491-1DCB-49EB-BD1E-2647BD89F93E}"/>
    <cellStyle name="Normal 12 3 2 2 5" xfId="9320" xr:uid="{5882E943-DCD8-4394-BF5C-07D56B4CFE44}"/>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24" xr:uid="{FBA04EB7-7B44-48B8-80A8-2C52B97F0AA3}"/>
    <cellStyle name="Normal 12 3 2 3 2 3" xfId="12707" xr:uid="{83EFF078-2C46-47EA-8EDC-18262311F77D}"/>
    <cellStyle name="Normal 12 3 2 3 3" xfId="5497" xr:uid="{00000000-0005-0000-0000-0000260E0000}"/>
    <cellStyle name="Normal 12 3 2 3 3 2" xfId="14779" xr:uid="{E0FA2425-6101-43E0-B706-59B8A1F712AE}"/>
    <cellStyle name="Normal 12 3 2 3 4" xfId="10562" xr:uid="{52CCDB56-91AD-4014-AC9A-07D892A573C5}"/>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37" xr:uid="{A879C8B3-429F-439E-83BA-5846888DF66A}"/>
    <cellStyle name="Normal 12 3 2 4 2 3" xfId="13120" xr:uid="{BAA602FB-8348-42FF-B9D5-3C14CCA9E2CA}"/>
    <cellStyle name="Normal 12 3 2 4 3" xfId="5910" xr:uid="{00000000-0005-0000-0000-00002A0E0000}"/>
    <cellStyle name="Normal 12 3 2 4 3 2" xfId="15192" xr:uid="{60B33EE8-769B-4D3F-B8EA-992E48C01B06}"/>
    <cellStyle name="Normal 12 3 2 4 4" xfId="10975" xr:uid="{6BCA84F2-447D-4F9D-A678-42E4B1D4A10E}"/>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50" xr:uid="{4948218D-B4DD-46F2-B1F0-69DB2572B4FC}"/>
    <cellStyle name="Normal 12 3 2 5 2 3" xfId="13533" xr:uid="{B4992963-39A4-46C9-AB7E-C72E72AD6EAE}"/>
    <cellStyle name="Normal 12 3 2 5 3" xfId="6323" xr:uid="{00000000-0005-0000-0000-00002E0E0000}"/>
    <cellStyle name="Normal 12 3 2 5 3 2" xfId="15605" xr:uid="{BE31D2B7-85DA-43C2-B805-54AA226B5619}"/>
    <cellStyle name="Normal 12 3 2 5 4" xfId="11388" xr:uid="{5F85A9D5-D186-4DAB-A7CF-B56EF4B77BA2}"/>
    <cellStyle name="Normal 12 3 2 6" xfId="2453" xr:uid="{00000000-0005-0000-0000-00002F0E0000}"/>
    <cellStyle name="Normal 12 3 2 6 2" xfId="6736" xr:uid="{00000000-0005-0000-0000-0000300E0000}"/>
    <cellStyle name="Normal 12 3 2 6 2 2" xfId="16018" xr:uid="{1F1FD141-5674-4086-90D7-5E9D8599E6FD}"/>
    <cellStyle name="Normal 12 3 2 6 3" xfId="11801" xr:uid="{873DFE64-45AD-4FDF-B2C2-B871174A1F15}"/>
    <cellStyle name="Normal 12 3 2 7" xfId="4670" xr:uid="{00000000-0005-0000-0000-0000310E0000}"/>
    <cellStyle name="Normal 12 3 2 7 2" xfId="13952" xr:uid="{939CF404-888A-4C93-B851-EA5E6DF59E83}"/>
    <cellStyle name="Normal 12 3 2 8" xfId="9735" xr:uid="{17D1391A-7020-4395-A5C9-7B80D97430E2}"/>
    <cellStyle name="Normal 12 3 2 9" xfId="8902" xr:uid="{7453D76C-A38A-40B3-A994-189800BD103B}"/>
    <cellStyle name="Normal 12 3 3" xfId="765" xr:uid="{00000000-0005-0000-0000-0000320E0000}"/>
    <cellStyle name="Normal 12 3 3 2" xfId="3006" xr:uid="{00000000-0005-0000-0000-0000330E0000}"/>
    <cellStyle name="Normal 12 3 3 2 2" xfId="7228" xr:uid="{00000000-0005-0000-0000-0000340E0000}"/>
    <cellStyle name="Normal 12 3 3 2 2 2" xfId="16510" xr:uid="{D7C9B9A4-3EDF-4E89-A08C-920D5F2A79EF}"/>
    <cellStyle name="Normal 12 3 3 2 3" xfId="12293" xr:uid="{B267A995-9FC5-4565-9651-8B7BCE93816B}"/>
    <cellStyle name="Normal 12 3 3 3" xfId="5083" xr:uid="{00000000-0005-0000-0000-0000350E0000}"/>
    <cellStyle name="Normal 12 3 3 3 2" xfId="14365" xr:uid="{5DF05E65-A151-4D08-973A-16C7D493AAA0}"/>
    <cellStyle name="Normal 12 3 3 4" xfId="10148" xr:uid="{06987688-C1CD-4729-9CBF-6549AA96406A}"/>
    <cellStyle name="Normal 12 3 3 5" xfId="9319" xr:uid="{626A7EAB-0F7C-4F4B-A78C-613FB0D83FC7}"/>
    <cellStyle name="Normal 12 3 4" xfId="1188" xr:uid="{00000000-0005-0000-0000-0000360E0000}"/>
    <cellStyle name="Normal 12 3 4 2" xfId="3419" xr:uid="{00000000-0005-0000-0000-0000370E0000}"/>
    <cellStyle name="Normal 12 3 4 2 2" xfId="7641" xr:uid="{00000000-0005-0000-0000-0000380E0000}"/>
    <cellStyle name="Normal 12 3 4 2 2 2" xfId="16923" xr:uid="{9A1C7952-1630-492D-A732-B33475E8F904}"/>
    <cellStyle name="Normal 12 3 4 2 3" xfId="12706" xr:uid="{D9FE5511-46FF-4FC1-AC0A-5CFFB0F9279A}"/>
    <cellStyle name="Normal 12 3 4 3" xfId="5496" xr:uid="{00000000-0005-0000-0000-0000390E0000}"/>
    <cellStyle name="Normal 12 3 4 3 2" xfId="14778" xr:uid="{F0A56162-1FFB-43E4-AB3D-E7568E58FBB2}"/>
    <cellStyle name="Normal 12 3 4 4" xfId="10561" xr:uid="{E541050D-20DB-4AF9-B0D2-26E82FAC82AC}"/>
    <cellStyle name="Normal 12 3 5" xfId="1602" xr:uid="{00000000-0005-0000-0000-00003A0E0000}"/>
    <cellStyle name="Normal 12 3 5 2" xfId="3832" xr:uid="{00000000-0005-0000-0000-00003B0E0000}"/>
    <cellStyle name="Normal 12 3 5 2 2" xfId="8054" xr:uid="{00000000-0005-0000-0000-00003C0E0000}"/>
    <cellStyle name="Normal 12 3 5 2 2 2" xfId="17336" xr:uid="{1A495174-37A8-43EC-8771-864BE579CABD}"/>
    <cellStyle name="Normal 12 3 5 2 3" xfId="13119" xr:uid="{F0C57A5C-A39E-4C18-82B3-9580AA5F7EAC}"/>
    <cellStyle name="Normal 12 3 5 3" xfId="5909" xr:uid="{00000000-0005-0000-0000-00003D0E0000}"/>
    <cellStyle name="Normal 12 3 5 3 2" xfId="15191" xr:uid="{233CAFB3-7D3F-4DBA-94DF-0DBD6D0F83C3}"/>
    <cellStyle name="Normal 12 3 5 4" xfId="10974" xr:uid="{48928B71-B73D-4FDC-B348-E3979F4982E9}"/>
    <cellStyle name="Normal 12 3 6" xfId="2016" xr:uid="{00000000-0005-0000-0000-00003E0E0000}"/>
    <cellStyle name="Normal 12 3 6 2" xfId="4245" xr:uid="{00000000-0005-0000-0000-00003F0E0000}"/>
    <cellStyle name="Normal 12 3 6 2 2" xfId="8467" xr:uid="{00000000-0005-0000-0000-0000400E0000}"/>
    <cellStyle name="Normal 12 3 6 2 2 2" xfId="17749" xr:uid="{6A708B7D-FAE6-42D3-AEE4-28B9A825FC96}"/>
    <cellStyle name="Normal 12 3 6 2 3" xfId="13532" xr:uid="{43A23182-79AC-4021-82E0-98C3F7863C1F}"/>
    <cellStyle name="Normal 12 3 6 3" xfId="6322" xr:uid="{00000000-0005-0000-0000-0000410E0000}"/>
    <cellStyle name="Normal 12 3 6 3 2" xfId="15604" xr:uid="{563B7CD4-8346-403E-9EC5-6EBF6E3841B0}"/>
    <cellStyle name="Normal 12 3 6 4" xfId="11387" xr:uid="{5CA8AE5A-A02D-4A6B-9B87-30A32DDDDDA9}"/>
    <cellStyle name="Normal 12 3 7" xfId="2452" xr:uid="{00000000-0005-0000-0000-0000420E0000}"/>
    <cellStyle name="Normal 12 3 7 2" xfId="6735" xr:uid="{00000000-0005-0000-0000-0000430E0000}"/>
    <cellStyle name="Normal 12 3 7 2 2" xfId="16017" xr:uid="{6AA2928C-DA83-4384-9583-BA4E67CDD717}"/>
    <cellStyle name="Normal 12 3 7 3" xfId="11800" xr:uid="{3D38E6F5-9499-439D-90C8-FF9E921952B1}"/>
    <cellStyle name="Normal 12 3 8" xfId="4669" xr:uid="{00000000-0005-0000-0000-0000440E0000}"/>
    <cellStyle name="Normal 12 3 8 2" xfId="13951" xr:uid="{700F6CA7-9C34-47CB-8F52-A2D5D0AF40C2}"/>
    <cellStyle name="Normal 12 3 9" xfId="9734" xr:uid="{20CA3EF1-3487-42A2-A4D4-4421DEB30672}"/>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12" xr:uid="{16712688-CABA-49FD-A564-A78F1435662F}"/>
    <cellStyle name="Normal 12 4 2 2 3" xfId="12295" xr:uid="{BD469920-47FC-4065-9C1D-E777B060D737}"/>
    <cellStyle name="Normal 12 4 2 3" xfId="5085" xr:uid="{00000000-0005-0000-0000-0000490E0000}"/>
    <cellStyle name="Normal 12 4 2 3 2" xfId="14367" xr:uid="{5BAE2E1A-8145-4A6A-B423-1F9DCB4F901F}"/>
    <cellStyle name="Normal 12 4 2 4" xfId="10150" xr:uid="{649A2152-F9EE-43D5-868C-2385C1355B93}"/>
    <cellStyle name="Normal 12 4 2 5" xfId="9321" xr:uid="{BA22DFCD-9176-4DFC-9AFA-7679037C8F4C}"/>
    <cellStyle name="Normal 12 4 3" xfId="1190" xr:uid="{00000000-0005-0000-0000-00004A0E0000}"/>
    <cellStyle name="Normal 12 4 3 2" xfId="3421" xr:uid="{00000000-0005-0000-0000-00004B0E0000}"/>
    <cellStyle name="Normal 12 4 3 2 2" xfId="7643" xr:uid="{00000000-0005-0000-0000-00004C0E0000}"/>
    <cellStyle name="Normal 12 4 3 2 2 2" xfId="16925" xr:uid="{354D39FF-1B12-4E09-BE1A-891DE5C30A3A}"/>
    <cellStyle name="Normal 12 4 3 2 3" xfId="12708" xr:uid="{E2626877-E256-4924-ADAC-44D45C9A1BB5}"/>
    <cellStyle name="Normal 12 4 3 3" xfId="5498" xr:uid="{00000000-0005-0000-0000-00004D0E0000}"/>
    <cellStyle name="Normal 12 4 3 3 2" xfId="14780" xr:uid="{F7031F84-49BB-4576-AD98-8371B25082FC}"/>
    <cellStyle name="Normal 12 4 3 4" xfId="10563" xr:uid="{1F185E17-F10B-4729-88E4-F74F1900BD9A}"/>
    <cellStyle name="Normal 12 4 4" xfId="1604" xr:uid="{00000000-0005-0000-0000-00004E0E0000}"/>
    <cellStyle name="Normal 12 4 4 2" xfId="3834" xr:uid="{00000000-0005-0000-0000-00004F0E0000}"/>
    <cellStyle name="Normal 12 4 4 2 2" xfId="8056" xr:uid="{00000000-0005-0000-0000-0000500E0000}"/>
    <cellStyle name="Normal 12 4 4 2 2 2" xfId="17338" xr:uid="{CBC01124-ABD5-4D2D-8664-95FEBFE203E1}"/>
    <cellStyle name="Normal 12 4 4 2 3" xfId="13121" xr:uid="{4F623938-EFED-4566-BB1A-BAB497D417D0}"/>
    <cellStyle name="Normal 12 4 4 3" xfId="5911" xr:uid="{00000000-0005-0000-0000-0000510E0000}"/>
    <cellStyle name="Normal 12 4 4 3 2" xfId="15193" xr:uid="{411E5D1B-7D76-464D-AE14-6D8FDF9EBB95}"/>
    <cellStyle name="Normal 12 4 4 4" xfId="10976" xr:uid="{6B9F7255-690C-4D0D-B5E2-8A758241B962}"/>
    <cellStyle name="Normal 12 4 5" xfId="2018" xr:uid="{00000000-0005-0000-0000-0000520E0000}"/>
    <cellStyle name="Normal 12 4 5 2" xfId="4247" xr:uid="{00000000-0005-0000-0000-0000530E0000}"/>
    <cellStyle name="Normal 12 4 5 2 2" xfId="8469" xr:uid="{00000000-0005-0000-0000-0000540E0000}"/>
    <cellStyle name="Normal 12 4 5 2 2 2" xfId="17751" xr:uid="{4171FBA0-7221-4857-B527-D10234A15B02}"/>
    <cellStyle name="Normal 12 4 5 2 3" xfId="13534" xr:uid="{F85369C4-235A-4A1D-84ED-8FDD7DE7ADD0}"/>
    <cellStyle name="Normal 12 4 5 3" xfId="6324" xr:uid="{00000000-0005-0000-0000-0000550E0000}"/>
    <cellStyle name="Normal 12 4 5 3 2" xfId="15606" xr:uid="{F85238B4-CF20-4146-AA4D-13A39C1AD92E}"/>
    <cellStyle name="Normal 12 4 5 4" xfId="11389" xr:uid="{01BE923F-BD5C-4CB0-A7CC-3CBD07CAAEEF}"/>
    <cellStyle name="Normal 12 4 6" xfId="2454" xr:uid="{00000000-0005-0000-0000-0000560E0000}"/>
    <cellStyle name="Normal 12 4 6 2" xfId="6737" xr:uid="{00000000-0005-0000-0000-0000570E0000}"/>
    <cellStyle name="Normal 12 4 6 2 2" xfId="16019" xr:uid="{33FE3207-18A8-4E3F-9C9E-FB4D3E566804}"/>
    <cellStyle name="Normal 12 4 6 3" xfId="11802" xr:uid="{B22D3B92-1102-4918-A071-45B47F744349}"/>
    <cellStyle name="Normal 12 4 7" xfId="4671" xr:uid="{00000000-0005-0000-0000-0000580E0000}"/>
    <cellStyle name="Normal 12 4 7 2" xfId="13953" xr:uid="{C73D85A3-AA5B-47AB-944B-A1E9FCC2558B}"/>
    <cellStyle name="Normal 12 4 8" xfId="9736" xr:uid="{507ABE10-16C4-4114-884E-E53E25A51747}"/>
    <cellStyle name="Normal 12 4 9" xfId="8903" xr:uid="{6B134A3E-A0B9-48FE-87D8-B6E081184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6505" xr:uid="{027DDD00-164C-46C2-A5A5-157FDA8A7A9E}"/>
    <cellStyle name="Normal 12 6 2 3" xfId="12288" xr:uid="{84A11CAC-1933-4285-9589-A0623ED0640C}"/>
    <cellStyle name="Normal 12 6 3" xfId="5078" xr:uid="{00000000-0005-0000-0000-00005D0E0000}"/>
    <cellStyle name="Normal 12 6 3 2" xfId="14360" xr:uid="{D242812B-7072-4691-AFE1-31AE169D7DA5}"/>
    <cellStyle name="Normal 12 6 4" xfId="10143" xr:uid="{F3228558-B0EA-4A03-B593-C035C6767F69}"/>
    <cellStyle name="Normal 12 6 5" xfId="9314" xr:uid="{D64C30AE-A459-4C33-94D5-17271805E588}"/>
    <cellStyle name="Normal 12 7" xfId="1183" xr:uid="{00000000-0005-0000-0000-00005E0E0000}"/>
    <cellStyle name="Normal 12 7 2" xfId="3414" xr:uid="{00000000-0005-0000-0000-00005F0E0000}"/>
    <cellStyle name="Normal 12 7 2 2" xfId="7636" xr:uid="{00000000-0005-0000-0000-0000600E0000}"/>
    <cellStyle name="Normal 12 7 2 2 2" xfId="16918" xr:uid="{F4FDFFF6-0C78-40CD-80CF-292DB008325D}"/>
    <cellStyle name="Normal 12 7 2 3" xfId="12701" xr:uid="{8E384BDB-4580-452F-BC8F-A5B1BB727505}"/>
    <cellStyle name="Normal 12 7 3" xfId="5491" xr:uid="{00000000-0005-0000-0000-0000610E0000}"/>
    <cellStyle name="Normal 12 7 3 2" xfId="14773" xr:uid="{4F3FF2AA-F37D-4045-A6BE-456A89AB24AA}"/>
    <cellStyle name="Normal 12 7 4" xfId="10556" xr:uid="{3178A952-7623-4139-A31D-6F0BF04B2197}"/>
    <cellStyle name="Normal 12 8" xfId="1597" xr:uid="{00000000-0005-0000-0000-0000620E0000}"/>
    <cellStyle name="Normal 12 8 2" xfId="3827" xr:uid="{00000000-0005-0000-0000-0000630E0000}"/>
    <cellStyle name="Normal 12 8 2 2" xfId="8049" xr:uid="{00000000-0005-0000-0000-0000640E0000}"/>
    <cellStyle name="Normal 12 8 2 2 2" xfId="17331" xr:uid="{E518FE48-D46F-4A58-B202-F7B4C949E12B}"/>
    <cellStyle name="Normal 12 8 2 3" xfId="13114" xr:uid="{6BC6BA75-A9BC-4C72-9613-A192F89A7A7D}"/>
    <cellStyle name="Normal 12 8 3" xfId="5904" xr:uid="{00000000-0005-0000-0000-0000650E0000}"/>
    <cellStyle name="Normal 12 8 3 2" xfId="15186" xr:uid="{0CAD7AD0-6210-43F3-860D-0551A06552D2}"/>
    <cellStyle name="Normal 12 8 4" xfId="10969" xr:uid="{AB6A19D7-01BC-4E36-84E3-9AEC8D36DAD9}"/>
    <cellStyle name="Normal 12 9" xfId="2011" xr:uid="{00000000-0005-0000-0000-0000660E0000}"/>
    <cellStyle name="Normal 12 9 2" xfId="4240" xr:uid="{00000000-0005-0000-0000-0000670E0000}"/>
    <cellStyle name="Normal 12 9 2 2" xfId="8462" xr:uid="{00000000-0005-0000-0000-0000680E0000}"/>
    <cellStyle name="Normal 12 9 2 2 2" xfId="17744" xr:uid="{ADFB1EDA-CC73-40BA-98FB-D07400337C82}"/>
    <cellStyle name="Normal 12 9 2 3" xfId="13527" xr:uid="{FD38BCFB-3393-4FE7-870F-E0C6236AFFF6}"/>
    <cellStyle name="Normal 12 9 3" xfId="6317" xr:uid="{00000000-0005-0000-0000-0000690E0000}"/>
    <cellStyle name="Normal 12 9 3 2" xfId="15599" xr:uid="{6004F0DC-EA39-4B96-81B5-38BC030CD326}"/>
    <cellStyle name="Normal 12 9 4" xfId="11382" xr:uid="{0E43C259-B581-4274-AB49-B134306B957B}"/>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13" xr:uid="{14B75FA9-CB70-40A0-9C20-BD74B3BCFFC0}"/>
    <cellStyle name="Normal 14 2 2 3" xfId="12296" xr:uid="{42E6047E-6A8A-4186-AB5A-3BEB36C5DE73}"/>
    <cellStyle name="Normal 14 2 3" xfId="5086" xr:uid="{00000000-0005-0000-0000-0000700E0000}"/>
    <cellStyle name="Normal 14 2 3 2" xfId="14368" xr:uid="{03D43A81-AB04-4D15-B016-D862AD9533E7}"/>
    <cellStyle name="Normal 14 2 4" xfId="10151" xr:uid="{C023722C-3E3F-4364-A75B-85BB9F0B5E10}"/>
    <cellStyle name="Normal 14 2 5" xfId="9322" xr:uid="{DC7DE4A3-F66C-4B9A-BA81-DD6433509620}"/>
    <cellStyle name="Normal 14 3" xfId="1191" xr:uid="{00000000-0005-0000-0000-0000710E0000}"/>
    <cellStyle name="Normal 14 3 2" xfId="3422" xr:uid="{00000000-0005-0000-0000-0000720E0000}"/>
    <cellStyle name="Normal 14 3 2 2" xfId="7644" xr:uid="{00000000-0005-0000-0000-0000730E0000}"/>
    <cellStyle name="Normal 14 3 2 2 2" xfId="16926" xr:uid="{B399C0BB-7880-4F87-98B0-545827A942EE}"/>
    <cellStyle name="Normal 14 3 2 3" xfId="12709" xr:uid="{7393A609-8A0B-4643-BB02-08B1D2020244}"/>
    <cellStyle name="Normal 14 3 3" xfId="5499" xr:uid="{00000000-0005-0000-0000-0000740E0000}"/>
    <cellStyle name="Normal 14 3 3 2" xfId="14781" xr:uid="{F53E1322-C7D8-4D19-BA6A-1011CAEEF003}"/>
    <cellStyle name="Normal 14 3 4" xfId="10564" xr:uid="{2D30786C-0DD6-4276-9B87-7DF9CA0C7156}"/>
    <cellStyle name="Normal 14 4" xfId="1605" xr:uid="{00000000-0005-0000-0000-0000750E0000}"/>
    <cellStyle name="Normal 14 4 2" xfId="3835" xr:uid="{00000000-0005-0000-0000-0000760E0000}"/>
    <cellStyle name="Normal 14 4 2 2" xfId="8057" xr:uid="{00000000-0005-0000-0000-0000770E0000}"/>
    <cellStyle name="Normal 14 4 2 2 2" xfId="17339" xr:uid="{EDC4449F-38DB-45FE-A9BB-267A324403F8}"/>
    <cellStyle name="Normal 14 4 2 3" xfId="13122" xr:uid="{AAAE79DC-90A3-4A81-ADD0-7E6A33B0946D}"/>
    <cellStyle name="Normal 14 4 3" xfId="5912" xr:uid="{00000000-0005-0000-0000-0000780E0000}"/>
    <cellStyle name="Normal 14 4 3 2" xfId="15194" xr:uid="{99F7C29D-229F-4EBB-98C9-8AA12D7EC83B}"/>
    <cellStyle name="Normal 14 4 4" xfId="10977" xr:uid="{C1F73988-6CBA-4C07-8FB5-31B755A12186}"/>
    <cellStyle name="Normal 14 5" xfId="2019" xr:uid="{00000000-0005-0000-0000-0000790E0000}"/>
    <cellStyle name="Normal 14 5 2" xfId="4248" xr:uid="{00000000-0005-0000-0000-00007A0E0000}"/>
    <cellStyle name="Normal 14 5 2 2" xfId="8470" xr:uid="{00000000-0005-0000-0000-00007B0E0000}"/>
    <cellStyle name="Normal 14 5 2 2 2" xfId="17752" xr:uid="{E6E048E1-48C5-426E-9116-EE3443EB2C50}"/>
    <cellStyle name="Normal 14 5 2 3" xfId="13535" xr:uid="{FA01878F-28C4-4BAE-9D3C-F1A3C3FABE74}"/>
    <cellStyle name="Normal 14 5 3" xfId="6325" xr:uid="{00000000-0005-0000-0000-00007C0E0000}"/>
    <cellStyle name="Normal 14 5 3 2" xfId="15607" xr:uid="{F5BCB70F-10C0-48E0-A4A7-FEC68EE7AA2C}"/>
    <cellStyle name="Normal 14 5 4" xfId="11390" xr:uid="{396D920A-CB7D-4351-8BF9-20AF900DC8E4}"/>
    <cellStyle name="Normal 14 6" xfId="2455" xr:uid="{00000000-0005-0000-0000-00007D0E0000}"/>
    <cellStyle name="Normal 14 6 2" xfId="6738" xr:uid="{00000000-0005-0000-0000-00007E0E0000}"/>
    <cellStyle name="Normal 14 6 2 2" xfId="16020" xr:uid="{A34D2D90-945A-4505-B7E9-53B343367BE8}"/>
    <cellStyle name="Normal 14 6 3" xfId="11803" xr:uid="{840C6379-2AA5-440D-9EC0-23C4E40B2BBC}"/>
    <cellStyle name="Normal 14 7" xfId="4672" xr:uid="{00000000-0005-0000-0000-00007F0E0000}"/>
    <cellStyle name="Normal 14 7 2" xfId="13954" xr:uid="{7A6B24B7-3DD5-41F5-9297-17832B0E571A}"/>
    <cellStyle name="Normal 14 8" xfId="9737" xr:uid="{B451EF7C-812A-4ED0-B820-BAFEE0B6C034}"/>
    <cellStyle name="Normal 14 9" xfId="8904" xr:uid="{75B1D03B-D950-4D5B-998C-AC86EBDE7C10}"/>
    <cellStyle name="Normal 15" xfId="4496" xr:uid="{00000000-0005-0000-0000-0000800E0000}"/>
    <cellStyle name="Normal 15 2" xfId="13780" xr:uid="{1E9D8746-C172-4627-AA3F-99BBF2E29EC7}"/>
    <cellStyle name="Normal 15 3" xfId="9150" xr:uid="{6ACA5B1E-22B9-4819-9394-95B814AAB906}"/>
    <cellStyle name="Normal 16" xfId="4500" xr:uid="{00000000-0005-0000-0000-0000810E0000}"/>
    <cellStyle name="Normal 16 2" xfId="8715" xr:uid="{00000000-0005-0000-0000-0000820E0000}"/>
    <cellStyle name="Normal 16 2 2" xfId="17997" xr:uid="{CC228781-ABB2-4BD0-A478-76814A15F4F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8013" xr:uid="{30894034-4B77-4E54-9B90-0DEB971DD57C}"/>
    <cellStyle name="Normal 16 3 2 2 2 3" xfId="18010" xr:uid="{BBAFDA94-481B-4860-9C06-F8A9F79A906B}"/>
    <cellStyle name="Normal 16 3 2 2 3" xfId="18006" xr:uid="{411BF97F-6270-4028-9FF5-2E6E6F45AEA8}"/>
    <cellStyle name="Normal 16 3 2 3" xfId="18003" xr:uid="{3C9D1959-024E-4476-8474-89F9B0FCD06B}"/>
    <cellStyle name="Normal 16 3 3" xfId="18000" xr:uid="{C08DFF18-4EFF-4C56-82AB-70DD6A785037}"/>
    <cellStyle name="Normal 16 4" xfId="13783" xr:uid="{4DF395CE-EFA7-4663-BF20-06DEC2E07AEB}"/>
    <cellStyle name="Normal 16 5" xfId="9568" xr:uid="{3A35D17A-45AD-4502-9705-473364F654A5}"/>
    <cellStyle name="Normal 17" xfId="8728" xr:uid="{3FF0972C-833B-4475-99D8-1A6907499E71}"/>
    <cellStyle name="Normal 17 2" xfId="18009" xr:uid="{90EBB18F-998A-4C12-8381-4192C8E1B3A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23" xr:uid="{844AA401-7A01-4BA2-AA8C-B752B70FB778}"/>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53" xr:uid="{5EF7A6C2-0E6C-45EC-B5EC-8EF601B779BD}"/>
    <cellStyle name="Normal 2 4 2 10 2 3" xfId="13536" xr:uid="{86952347-CDD3-4D9D-9B64-E1D27F5B57DE}"/>
    <cellStyle name="Normal 2 4 2 10 3" xfId="6326" xr:uid="{00000000-0005-0000-0000-0000910E0000}"/>
    <cellStyle name="Normal 2 4 2 10 3 2" xfId="15608" xr:uid="{3CFC0165-F4A0-44E6-81FD-2EA5414D585D}"/>
    <cellStyle name="Normal 2 4 2 10 4" xfId="11391" xr:uid="{FE013948-81B1-4C63-91F2-A950974C78FE}"/>
    <cellStyle name="Normal 2 4 2 11" xfId="2456" xr:uid="{00000000-0005-0000-0000-0000920E0000}"/>
    <cellStyle name="Normal 2 4 2 11 2" xfId="6739" xr:uid="{00000000-0005-0000-0000-0000930E0000}"/>
    <cellStyle name="Normal 2 4 2 11 2 2" xfId="16021" xr:uid="{98C88BF7-0E0B-4FE8-B040-61DC68892720}"/>
    <cellStyle name="Normal 2 4 2 11 3" xfId="11804" xr:uid="{FB75AE6C-A6CF-4E6E-A0CD-C79CCA4DB722}"/>
    <cellStyle name="Normal 2 4 2 12" xfId="4673" xr:uid="{00000000-0005-0000-0000-0000940E0000}"/>
    <cellStyle name="Normal 2 4 2 12 2" xfId="13955" xr:uid="{5EF774CE-9011-4A0A-9A02-CCE7EBAFA660}"/>
    <cellStyle name="Normal 2 4 2 13" xfId="9738" xr:uid="{44B30658-FB4F-4745-BFBF-3B9891FF568F}"/>
    <cellStyle name="Normal 2 4 2 14" xfId="8905" xr:uid="{2C1243F6-469E-4DD2-97E5-D3A9B3691BFE}"/>
    <cellStyle name="Normal 2 4 2 2" xfId="280" xr:uid="{00000000-0005-0000-0000-0000950E0000}"/>
    <cellStyle name="Normal 2 4 2 3" xfId="281" xr:uid="{00000000-0005-0000-0000-0000960E0000}"/>
    <cellStyle name="Normal 2 4 2 3 10" xfId="4674" xr:uid="{00000000-0005-0000-0000-0000970E0000}"/>
    <cellStyle name="Normal 2 4 2 3 10 2" xfId="13956" xr:uid="{03F99E50-04B7-42F9-B646-237E967183E0}"/>
    <cellStyle name="Normal 2 4 2 3 11" xfId="9739" xr:uid="{76764BF2-2105-467A-8525-139E47B5FA81}"/>
    <cellStyle name="Normal 2 4 2 3 12" xfId="8906" xr:uid="{02E1DF22-18A1-467F-8F23-DCB490C23753}"/>
    <cellStyle name="Normal 2 4 2 3 2" xfId="282" xr:uid="{00000000-0005-0000-0000-0000980E0000}"/>
    <cellStyle name="Normal 2 4 2 3 2 10" xfId="9740" xr:uid="{FAF7160C-4C25-4852-AB9D-D569B268A401}"/>
    <cellStyle name="Normal 2 4 2 3 2 11" xfId="8907" xr:uid="{6D3E2207-EF53-40C5-8A8C-DB60F212012D}"/>
    <cellStyle name="Normal 2 4 2 3 2 2" xfId="283" xr:uid="{00000000-0005-0000-0000-0000990E0000}"/>
    <cellStyle name="Normal 2 4 2 3 2 2 10" xfId="8908" xr:uid="{1E9ABCE3-C734-406E-AD55-FA811C4DE2D8}"/>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18" xr:uid="{2D0B17F6-B47A-40FB-B9DF-EA05B43271CA}"/>
    <cellStyle name="Normal 2 4 2 3 2 2 2 2 2 3" xfId="12301" xr:uid="{97FE0133-2118-4018-9091-0D8C332D20EB}"/>
    <cellStyle name="Normal 2 4 2 3 2 2 2 2 3" xfId="5091" xr:uid="{00000000-0005-0000-0000-00009E0E0000}"/>
    <cellStyle name="Normal 2 4 2 3 2 2 2 2 3 2" xfId="14373" xr:uid="{B5AE57A5-23DF-4986-A1F8-92F48D2E7D1E}"/>
    <cellStyle name="Normal 2 4 2 3 2 2 2 2 4" xfId="10156" xr:uid="{F3C08C64-E27A-40F4-BB46-8FFB465FCC78}"/>
    <cellStyle name="Normal 2 4 2 3 2 2 2 2 5" xfId="9328" xr:uid="{A79E188A-B284-4B7E-9D9B-B1A4DC479E8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31" xr:uid="{AAC56C0C-AF09-47C1-B1DE-7798DB10CA61}"/>
    <cellStyle name="Normal 2 4 2 3 2 2 2 3 2 3" xfId="12714" xr:uid="{3B270226-E7DA-4E13-9021-BE90A0F9F521}"/>
    <cellStyle name="Normal 2 4 2 3 2 2 2 3 3" xfId="5504" xr:uid="{00000000-0005-0000-0000-0000A20E0000}"/>
    <cellStyle name="Normal 2 4 2 3 2 2 2 3 3 2" xfId="14786" xr:uid="{161476EF-BAB1-43B0-90C3-C41210A078E7}"/>
    <cellStyle name="Normal 2 4 2 3 2 2 2 3 4" xfId="10569" xr:uid="{8124E311-CBB2-494C-81DF-31E6E0C91DE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44" xr:uid="{409A23B3-5C16-4E4D-81F2-44654F09D270}"/>
    <cellStyle name="Normal 2 4 2 3 2 2 2 4 2 3" xfId="13127" xr:uid="{F2112C6D-6BB4-4C3D-9E52-3E0C105BA06B}"/>
    <cellStyle name="Normal 2 4 2 3 2 2 2 4 3" xfId="5917" xr:uid="{00000000-0005-0000-0000-0000A60E0000}"/>
    <cellStyle name="Normal 2 4 2 3 2 2 2 4 3 2" xfId="15199" xr:uid="{37B645DE-ACE9-449C-95F1-1A0EE7004CC8}"/>
    <cellStyle name="Normal 2 4 2 3 2 2 2 4 4" xfId="10982" xr:uid="{1F254313-611D-42E0-B61D-B69FDFF0BFA9}"/>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757" xr:uid="{E78A6973-988C-4E88-AE9F-2F1B2871E28B}"/>
    <cellStyle name="Normal 2 4 2 3 2 2 2 5 2 3" xfId="13540" xr:uid="{6246FF0B-B70F-4BED-AFCC-B4E8B0D547F8}"/>
    <cellStyle name="Normal 2 4 2 3 2 2 2 5 3" xfId="6330" xr:uid="{00000000-0005-0000-0000-0000AA0E0000}"/>
    <cellStyle name="Normal 2 4 2 3 2 2 2 5 3 2" xfId="15612" xr:uid="{0B1C2273-2C67-4631-9BE6-1A24FF550376}"/>
    <cellStyle name="Normal 2 4 2 3 2 2 2 5 4" xfId="11395" xr:uid="{7AE2B87F-98EB-4C48-A9AD-EDE1685DE684}"/>
    <cellStyle name="Normal 2 4 2 3 2 2 2 6" xfId="2460" xr:uid="{00000000-0005-0000-0000-0000AB0E0000}"/>
    <cellStyle name="Normal 2 4 2 3 2 2 2 6 2" xfId="6743" xr:uid="{00000000-0005-0000-0000-0000AC0E0000}"/>
    <cellStyle name="Normal 2 4 2 3 2 2 2 6 2 2" xfId="16025" xr:uid="{D2C3EB98-9E1A-42C9-8FA7-BF507F71BC57}"/>
    <cellStyle name="Normal 2 4 2 3 2 2 2 6 3" xfId="11808" xr:uid="{56CD828B-AEFE-4FE9-8195-33F829958572}"/>
    <cellStyle name="Normal 2 4 2 3 2 2 2 7" xfId="4677" xr:uid="{00000000-0005-0000-0000-0000AD0E0000}"/>
    <cellStyle name="Normal 2 4 2 3 2 2 2 7 2" xfId="13959" xr:uid="{3088BF37-A04D-43F3-AC55-0515E0445A58}"/>
    <cellStyle name="Normal 2 4 2 3 2 2 2 8" xfId="9742" xr:uid="{422B9AD2-3681-4F70-BEBA-DDD7C92AA687}"/>
    <cellStyle name="Normal 2 4 2 3 2 2 2 9" xfId="8909" xr:uid="{7CBEB74D-2796-4C58-9C8D-904FB6A0B09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17" xr:uid="{C90A9E2E-78D3-4E46-8026-71B8E520FA8F}"/>
    <cellStyle name="Normal 2 4 2 3 2 2 3 2 3" xfId="12300" xr:uid="{4E92E3AE-3E6F-4AB6-B550-FBAACAD5518D}"/>
    <cellStyle name="Normal 2 4 2 3 2 2 3 3" xfId="5090" xr:uid="{00000000-0005-0000-0000-0000B10E0000}"/>
    <cellStyle name="Normal 2 4 2 3 2 2 3 3 2" xfId="14372" xr:uid="{962C4FE6-41A9-40A9-89A2-3D5D697D7DFD}"/>
    <cellStyle name="Normal 2 4 2 3 2 2 3 4" xfId="10155" xr:uid="{B99CC832-D749-4A8C-8D79-87EAACB79E56}"/>
    <cellStyle name="Normal 2 4 2 3 2 2 3 5" xfId="9327" xr:uid="{36A80F72-0918-4EA8-9926-84ABF7590BD5}"/>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30" xr:uid="{A4D8BB62-00CF-400F-A281-A30387A6160A}"/>
    <cellStyle name="Normal 2 4 2 3 2 2 4 2 3" xfId="12713" xr:uid="{CA037CC9-17FA-4F58-BA30-B3E26A6A1D90}"/>
    <cellStyle name="Normal 2 4 2 3 2 2 4 3" xfId="5503" xr:uid="{00000000-0005-0000-0000-0000B50E0000}"/>
    <cellStyle name="Normal 2 4 2 3 2 2 4 3 2" xfId="14785" xr:uid="{A98632A3-9E92-44FE-A729-A64979425362}"/>
    <cellStyle name="Normal 2 4 2 3 2 2 4 4" xfId="10568" xr:uid="{1C40DA62-6BD0-454E-92BA-269674E88741}"/>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43" xr:uid="{3DC113F8-C509-46E1-BAE5-4A898BCF8B37}"/>
    <cellStyle name="Normal 2 4 2 3 2 2 5 2 3" xfId="13126" xr:uid="{52F9827B-1295-4B16-A351-1F0428AB6794}"/>
    <cellStyle name="Normal 2 4 2 3 2 2 5 3" xfId="5916" xr:uid="{00000000-0005-0000-0000-0000B90E0000}"/>
    <cellStyle name="Normal 2 4 2 3 2 2 5 3 2" xfId="15198" xr:uid="{380D34A2-F9B7-4996-9877-67825770C1C0}"/>
    <cellStyle name="Normal 2 4 2 3 2 2 5 4" xfId="10981" xr:uid="{BB7B16C8-1256-445D-86CB-A18E00A40FA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756" xr:uid="{37DA0B52-E072-4B61-9F98-7EF654A61887}"/>
    <cellStyle name="Normal 2 4 2 3 2 2 6 2 3" xfId="13539" xr:uid="{EA0E2E04-CE61-4E25-8C9F-819FCE65F58D}"/>
    <cellStyle name="Normal 2 4 2 3 2 2 6 3" xfId="6329" xr:uid="{00000000-0005-0000-0000-0000BD0E0000}"/>
    <cellStyle name="Normal 2 4 2 3 2 2 6 3 2" xfId="15611" xr:uid="{6D35CFCF-A69B-448D-8A67-C40C4AFF990A}"/>
    <cellStyle name="Normal 2 4 2 3 2 2 6 4" xfId="11394" xr:uid="{C4CE4B16-F02A-4057-8FA8-D82D14BFA98B}"/>
    <cellStyle name="Normal 2 4 2 3 2 2 7" xfId="2459" xr:uid="{00000000-0005-0000-0000-0000BE0E0000}"/>
    <cellStyle name="Normal 2 4 2 3 2 2 7 2" xfId="6742" xr:uid="{00000000-0005-0000-0000-0000BF0E0000}"/>
    <cellStyle name="Normal 2 4 2 3 2 2 7 2 2" xfId="16024" xr:uid="{220F9812-6767-45F3-A9EF-F1017D199EC0}"/>
    <cellStyle name="Normal 2 4 2 3 2 2 7 3" xfId="11807" xr:uid="{C5A1CE56-FA96-47EC-B950-769C29AF9CCA}"/>
    <cellStyle name="Normal 2 4 2 3 2 2 8" xfId="4676" xr:uid="{00000000-0005-0000-0000-0000C00E0000}"/>
    <cellStyle name="Normal 2 4 2 3 2 2 8 2" xfId="13958" xr:uid="{1ACCA190-28DF-49D3-9641-52A683E65F5C}"/>
    <cellStyle name="Normal 2 4 2 3 2 2 9" xfId="9741" xr:uid="{79CA4C73-4C02-4A9B-95D6-501CCC729D7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19" xr:uid="{4F1AB857-5489-4168-87DD-7B2114EDC19B}"/>
    <cellStyle name="Normal 2 4 2 3 2 3 2 2 3" xfId="12302" xr:uid="{B77922DA-EC5E-4C46-9633-3A9E3AD8193E}"/>
    <cellStyle name="Normal 2 4 2 3 2 3 2 3" xfId="5092" xr:uid="{00000000-0005-0000-0000-0000C50E0000}"/>
    <cellStyle name="Normal 2 4 2 3 2 3 2 3 2" xfId="14374" xr:uid="{DCFB90AA-35F6-4D81-92DC-81C13B536D94}"/>
    <cellStyle name="Normal 2 4 2 3 2 3 2 4" xfId="10157" xr:uid="{950403CA-1886-4DEE-A7C8-406D091F42E9}"/>
    <cellStyle name="Normal 2 4 2 3 2 3 2 5" xfId="9329" xr:uid="{C6BCD292-A4EB-4C21-AF60-670554138CF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32" xr:uid="{33077FFE-9471-4E5B-BCCE-627A3C0CD9B2}"/>
    <cellStyle name="Normal 2 4 2 3 2 3 3 2 3" xfId="12715" xr:uid="{AAC0F3F5-D9E3-4305-9DF1-F84CFC241708}"/>
    <cellStyle name="Normal 2 4 2 3 2 3 3 3" xfId="5505" xr:uid="{00000000-0005-0000-0000-0000C90E0000}"/>
    <cellStyle name="Normal 2 4 2 3 2 3 3 3 2" xfId="14787" xr:uid="{239F7A80-AAED-4D5F-A883-9BC7D32A349E}"/>
    <cellStyle name="Normal 2 4 2 3 2 3 3 4" xfId="10570" xr:uid="{BD955F4D-707E-4FA8-94C7-F7BE803064E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45" xr:uid="{EC4C75E8-4D0D-47C0-81F0-827AE847CCCB}"/>
    <cellStyle name="Normal 2 4 2 3 2 3 4 2 3" xfId="13128" xr:uid="{C28B0F7A-4EF8-4126-9212-3A389DC4889C}"/>
    <cellStyle name="Normal 2 4 2 3 2 3 4 3" xfId="5918" xr:uid="{00000000-0005-0000-0000-0000CD0E0000}"/>
    <cellStyle name="Normal 2 4 2 3 2 3 4 3 2" xfId="15200" xr:uid="{C0C1CCAB-FF78-491F-8919-1BC8067BBDB8}"/>
    <cellStyle name="Normal 2 4 2 3 2 3 4 4" xfId="10983" xr:uid="{11183FE4-FFD0-40AC-947D-9C8E63DA2CF1}"/>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758" xr:uid="{3C1DF2E9-0EC1-4215-B980-8A30D0A1511F}"/>
    <cellStyle name="Normal 2 4 2 3 2 3 5 2 3" xfId="13541" xr:uid="{6611B89B-CCE1-4A69-979F-E37BE8B18AA5}"/>
    <cellStyle name="Normal 2 4 2 3 2 3 5 3" xfId="6331" xr:uid="{00000000-0005-0000-0000-0000D10E0000}"/>
    <cellStyle name="Normal 2 4 2 3 2 3 5 3 2" xfId="15613" xr:uid="{4A5C719B-FEF5-4E67-921B-0AD55DC94BD5}"/>
    <cellStyle name="Normal 2 4 2 3 2 3 5 4" xfId="11396" xr:uid="{190B88FB-7796-4E1C-9B35-F23245BF5DCC}"/>
    <cellStyle name="Normal 2 4 2 3 2 3 6" xfId="2461" xr:uid="{00000000-0005-0000-0000-0000D20E0000}"/>
    <cellStyle name="Normal 2 4 2 3 2 3 6 2" xfId="6744" xr:uid="{00000000-0005-0000-0000-0000D30E0000}"/>
    <cellStyle name="Normal 2 4 2 3 2 3 6 2 2" xfId="16026" xr:uid="{F217DAC4-B3F2-48C6-8708-F62D5E0E25CE}"/>
    <cellStyle name="Normal 2 4 2 3 2 3 6 3" xfId="11809" xr:uid="{10D1B631-8114-4F1C-8BF0-FBED93DD76FF}"/>
    <cellStyle name="Normal 2 4 2 3 2 3 7" xfId="4678" xr:uid="{00000000-0005-0000-0000-0000D40E0000}"/>
    <cellStyle name="Normal 2 4 2 3 2 3 7 2" xfId="13960" xr:uid="{7322D4A6-884E-4A38-A666-34B59A1DF61D}"/>
    <cellStyle name="Normal 2 4 2 3 2 3 8" xfId="9743" xr:uid="{ED8BA690-FAB2-4066-980A-C626A03AF0DC}"/>
    <cellStyle name="Normal 2 4 2 3 2 3 9" xfId="8910" xr:uid="{0E9BC002-46BA-4701-B478-94397FF3C83E}"/>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16" xr:uid="{3B7D73A0-4F7F-40CD-AC8D-164D9EFD91E0}"/>
    <cellStyle name="Normal 2 4 2 3 2 4 2 3" xfId="12299" xr:uid="{5F795121-2B04-4255-979D-AD8E9093E01D}"/>
    <cellStyle name="Normal 2 4 2 3 2 4 3" xfId="5089" xr:uid="{00000000-0005-0000-0000-0000D80E0000}"/>
    <cellStyle name="Normal 2 4 2 3 2 4 3 2" xfId="14371" xr:uid="{F9EEE5A1-9B8B-4ECF-95B7-9C917E3E9B86}"/>
    <cellStyle name="Normal 2 4 2 3 2 4 4" xfId="10154" xr:uid="{63FDED40-5598-4ED6-ABE8-838A8B4F4902}"/>
    <cellStyle name="Normal 2 4 2 3 2 4 5" xfId="9326" xr:uid="{4B42A5DC-F35E-4AE8-91D9-624CF094E343}"/>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29" xr:uid="{4DE38AAA-4E6A-48C1-9B19-6322DCEB729D}"/>
    <cellStyle name="Normal 2 4 2 3 2 5 2 3" xfId="12712" xr:uid="{1AF80EE1-5D86-427D-A6F7-9F94864DB9A8}"/>
    <cellStyle name="Normal 2 4 2 3 2 5 3" xfId="5502" xr:uid="{00000000-0005-0000-0000-0000DC0E0000}"/>
    <cellStyle name="Normal 2 4 2 3 2 5 3 2" xfId="14784" xr:uid="{6480A969-A85A-4EC5-B141-D300B472EB70}"/>
    <cellStyle name="Normal 2 4 2 3 2 5 4" xfId="10567" xr:uid="{F5662341-C054-41DB-AD3A-36CB70E55A0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42" xr:uid="{DC669011-E518-440F-8D3A-1599BE0D56FD}"/>
    <cellStyle name="Normal 2 4 2 3 2 6 2 3" xfId="13125" xr:uid="{09E6C9D5-2064-43B2-9DBA-5E5555C2332E}"/>
    <cellStyle name="Normal 2 4 2 3 2 6 3" xfId="5915" xr:uid="{00000000-0005-0000-0000-0000E00E0000}"/>
    <cellStyle name="Normal 2 4 2 3 2 6 3 2" xfId="15197" xr:uid="{8206D254-7F71-40E0-9D82-8A7BFBC9591F}"/>
    <cellStyle name="Normal 2 4 2 3 2 6 4" xfId="10980" xr:uid="{1D7603E5-5FD6-481F-B66D-DEA78717BDDD}"/>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55" xr:uid="{4AC88253-035C-4F78-B828-7ADF0A9123AA}"/>
    <cellStyle name="Normal 2 4 2 3 2 7 2 3" xfId="13538" xr:uid="{C3526F8A-441F-48EB-8B27-6127D218C8FC}"/>
    <cellStyle name="Normal 2 4 2 3 2 7 3" xfId="6328" xr:uid="{00000000-0005-0000-0000-0000E40E0000}"/>
    <cellStyle name="Normal 2 4 2 3 2 7 3 2" xfId="15610" xr:uid="{B4ED46A6-E703-41F9-BB23-7DD0E86D4F63}"/>
    <cellStyle name="Normal 2 4 2 3 2 7 4" xfId="11393" xr:uid="{E232CF0B-4E8D-472C-9914-9CEF75E1CA9F}"/>
    <cellStyle name="Normal 2 4 2 3 2 8" xfId="2458" xr:uid="{00000000-0005-0000-0000-0000E50E0000}"/>
    <cellStyle name="Normal 2 4 2 3 2 8 2" xfId="6741" xr:uid="{00000000-0005-0000-0000-0000E60E0000}"/>
    <cellStyle name="Normal 2 4 2 3 2 8 2 2" xfId="16023" xr:uid="{9423806F-0BF4-4D17-91DC-010E54D56AF8}"/>
    <cellStyle name="Normal 2 4 2 3 2 8 3" xfId="11806" xr:uid="{E7D15F1C-4ECB-49D9-AF6E-FD1803B4326B}"/>
    <cellStyle name="Normal 2 4 2 3 2 9" xfId="4675" xr:uid="{00000000-0005-0000-0000-0000E70E0000}"/>
    <cellStyle name="Normal 2 4 2 3 2 9 2" xfId="13957" xr:uid="{2003DBFE-2D04-407B-BFAA-E73D0A6667C3}"/>
    <cellStyle name="Normal 2 4 2 3 3" xfId="286" xr:uid="{00000000-0005-0000-0000-0000E80E0000}"/>
    <cellStyle name="Normal 2 4 2 3 3 10" xfId="8911" xr:uid="{F26DA663-1D71-4876-BFCD-64364E93C36D}"/>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21" xr:uid="{12AC077C-B262-4EBC-9301-432114B7429B}"/>
    <cellStyle name="Normal 2 4 2 3 3 2 2 2 3" xfId="12304" xr:uid="{BBA863F2-6AD1-49D4-BDC4-1EEABD4EAC14}"/>
    <cellStyle name="Normal 2 4 2 3 3 2 2 3" xfId="5094" xr:uid="{00000000-0005-0000-0000-0000ED0E0000}"/>
    <cellStyle name="Normal 2 4 2 3 3 2 2 3 2" xfId="14376" xr:uid="{7A9A0468-1F7B-476B-AC8E-7BDF62657446}"/>
    <cellStyle name="Normal 2 4 2 3 3 2 2 4" xfId="10159" xr:uid="{1D37216F-A683-4E9F-AF09-9263BC1C3E9C}"/>
    <cellStyle name="Normal 2 4 2 3 3 2 2 5" xfId="9331" xr:uid="{4853123B-757F-4F46-ACCB-D818DF668C1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34" xr:uid="{C5BD369F-0BAE-4FD2-A38A-471BA42298D1}"/>
    <cellStyle name="Normal 2 4 2 3 3 2 3 2 3" xfId="12717" xr:uid="{2D8F8899-3583-46FF-BD96-B884C256918D}"/>
    <cellStyle name="Normal 2 4 2 3 3 2 3 3" xfId="5507" xr:uid="{00000000-0005-0000-0000-0000F10E0000}"/>
    <cellStyle name="Normal 2 4 2 3 3 2 3 3 2" xfId="14789" xr:uid="{97949C33-1902-4994-B963-BDC3069E5C4B}"/>
    <cellStyle name="Normal 2 4 2 3 3 2 3 4" xfId="10572" xr:uid="{BDE51F41-9601-43C8-A316-CF60E4B7869F}"/>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47" xr:uid="{826607D7-D607-46C2-921B-9878CC509B04}"/>
    <cellStyle name="Normal 2 4 2 3 3 2 4 2 3" xfId="13130" xr:uid="{ADEC5667-F402-4901-A049-3E7933B0E04D}"/>
    <cellStyle name="Normal 2 4 2 3 3 2 4 3" xfId="5920" xr:uid="{00000000-0005-0000-0000-0000F50E0000}"/>
    <cellStyle name="Normal 2 4 2 3 3 2 4 3 2" xfId="15202" xr:uid="{6D3E8B44-7BFA-4C51-AF62-C1DC6194711F}"/>
    <cellStyle name="Normal 2 4 2 3 3 2 4 4" xfId="10985" xr:uid="{CE40041B-92ED-4BA3-AD39-2C1EFF87628A}"/>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760" xr:uid="{C1D068A3-86F2-43B2-B8B9-88EF7F93C3BC}"/>
    <cellStyle name="Normal 2 4 2 3 3 2 5 2 3" xfId="13543" xr:uid="{95C5832F-D240-4BB2-9C9D-BACD0C52973B}"/>
    <cellStyle name="Normal 2 4 2 3 3 2 5 3" xfId="6333" xr:uid="{00000000-0005-0000-0000-0000F90E0000}"/>
    <cellStyle name="Normal 2 4 2 3 3 2 5 3 2" xfId="15615" xr:uid="{1D4F7A2E-5EF3-4D38-805F-9C49EDBBDD42}"/>
    <cellStyle name="Normal 2 4 2 3 3 2 5 4" xfId="11398" xr:uid="{2B7E4AF3-C29D-4E67-A9C2-4A0D4FBC5D2E}"/>
    <cellStyle name="Normal 2 4 2 3 3 2 6" xfId="2463" xr:uid="{00000000-0005-0000-0000-0000FA0E0000}"/>
    <cellStyle name="Normal 2 4 2 3 3 2 6 2" xfId="6746" xr:uid="{00000000-0005-0000-0000-0000FB0E0000}"/>
    <cellStyle name="Normal 2 4 2 3 3 2 6 2 2" xfId="16028" xr:uid="{B965A684-CC24-4640-8284-8999402440DE}"/>
    <cellStyle name="Normal 2 4 2 3 3 2 6 3" xfId="11811" xr:uid="{683C8374-948F-43E0-91B3-34E98641FAB1}"/>
    <cellStyle name="Normal 2 4 2 3 3 2 7" xfId="4680" xr:uid="{00000000-0005-0000-0000-0000FC0E0000}"/>
    <cellStyle name="Normal 2 4 2 3 3 2 7 2" xfId="13962" xr:uid="{5B008A76-40D6-45FD-97BC-0714A7355DE4}"/>
    <cellStyle name="Normal 2 4 2 3 3 2 8" xfId="9745" xr:uid="{E9549934-6D3D-43C4-B974-DA611A3AA78D}"/>
    <cellStyle name="Normal 2 4 2 3 3 2 9" xfId="8912" xr:uid="{903ED8E2-25A4-4C6F-9EA1-4B1DFFE8C3E4}"/>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20" xr:uid="{49D0027D-DA61-42FA-8C67-9783AFDE7B46}"/>
    <cellStyle name="Normal 2 4 2 3 3 3 2 3" xfId="12303" xr:uid="{7F8F280D-23B3-4FE4-83B8-771307046B0B}"/>
    <cellStyle name="Normal 2 4 2 3 3 3 3" xfId="5093" xr:uid="{00000000-0005-0000-0000-0000000F0000}"/>
    <cellStyle name="Normal 2 4 2 3 3 3 3 2" xfId="14375" xr:uid="{9E97E573-6435-4B8A-959C-5C3C2155BDC5}"/>
    <cellStyle name="Normal 2 4 2 3 3 3 4" xfId="10158" xr:uid="{0289DEE2-D44A-4907-8C33-396674502F69}"/>
    <cellStyle name="Normal 2 4 2 3 3 3 5" xfId="9330" xr:uid="{4987A662-05EA-4436-BD94-11F84B593B9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33" xr:uid="{771CD3C2-AB0B-4704-AED8-3A9E82DEF355}"/>
    <cellStyle name="Normal 2 4 2 3 3 4 2 3" xfId="12716" xr:uid="{6C9FE69A-260C-40A1-9FB6-4E2326EAF337}"/>
    <cellStyle name="Normal 2 4 2 3 3 4 3" xfId="5506" xr:uid="{00000000-0005-0000-0000-0000040F0000}"/>
    <cellStyle name="Normal 2 4 2 3 3 4 3 2" xfId="14788" xr:uid="{DB0FAC2F-C89A-4638-B625-ADB3C02B39E6}"/>
    <cellStyle name="Normal 2 4 2 3 3 4 4" xfId="10571" xr:uid="{84C4011C-04E5-4536-A5AE-56FCF7AFE2E2}"/>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46" xr:uid="{346C27FD-2740-4D77-A227-A661B697D0DD}"/>
    <cellStyle name="Normal 2 4 2 3 3 5 2 3" xfId="13129" xr:uid="{8B5135E3-07BD-456D-8854-1F353B07D2EE}"/>
    <cellStyle name="Normal 2 4 2 3 3 5 3" xfId="5919" xr:uid="{00000000-0005-0000-0000-0000080F0000}"/>
    <cellStyle name="Normal 2 4 2 3 3 5 3 2" xfId="15201" xr:uid="{F6420396-BF9E-4B22-AB9D-996D781139A4}"/>
    <cellStyle name="Normal 2 4 2 3 3 5 4" xfId="10984" xr:uid="{A36FDB64-D009-4A9E-866A-79ED6FDEA1F8}"/>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759" xr:uid="{B137473E-8C79-4129-8B48-846E86FF5D2F}"/>
    <cellStyle name="Normal 2 4 2 3 3 6 2 3" xfId="13542" xr:uid="{82994500-8BB4-4C34-AF9B-8088D25BAC7E}"/>
    <cellStyle name="Normal 2 4 2 3 3 6 3" xfId="6332" xr:uid="{00000000-0005-0000-0000-00000C0F0000}"/>
    <cellStyle name="Normal 2 4 2 3 3 6 3 2" xfId="15614" xr:uid="{B21566EF-3FE9-4071-BBFA-872FB1D52250}"/>
    <cellStyle name="Normal 2 4 2 3 3 6 4" xfId="11397" xr:uid="{55F8DEDC-62D8-4094-A7BA-0422B9E6C7EF}"/>
    <cellStyle name="Normal 2 4 2 3 3 7" xfId="2462" xr:uid="{00000000-0005-0000-0000-00000D0F0000}"/>
    <cellStyle name="Normal 2 4 2 3 3 7 2" xfId="6745" xr:uid="{00000000-0005-0000-0000-00000E0F0000}"/>
    <cellStyle name="Normal 2 4 2 3 3 7 2 2" xfId="16027" xr:uid="{FEF58492-0A59-4217-8270-496138A0AE2C}"/>
    <cellStyle name="Normal 2 4 2 3 3 7 3" xfId="11810" xr:uid="{5B8C4C9A-0E24-4AC1-A0C6-3E347C360D27}"/>
    <cellStyle name="Normal 2 4 2 3 3 8" xfId="4679" xr:uid="{00000000-0005-0000-0000-00000F0F0000}"/>
    <cellStyle name="Normal 2 4 2 3 3 8 2" xfId="13961" xr:uid="{0412A44E-5BAF-44E2-8030-2E3817DF95F8}"/>
    <cellStyle name="Normal 2 4 2 3 3 9" xfId="9744" xr:uid="{B0F1E49D-12E8-4FCD-A95C-91A8C8B69C8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22" xr:uid="{48C1E35B-41CF-4B89-B05D-CC95BD061A7D}"/>
    <cellStyle name="Normal 2 4 2 3 4 2 2 3" xfId="12305" xr:uid="{0F07B8EA-C555-4B95-A213-58CCAB2D8578}"/>
    <cellStyle name="Normal 2 4 2 3 4 2 3" xfId="5095" xr:uid="{00000000-0005-0000-0000-0000140F0000}"/>
    <cellStyle name="Normal 2 4 2 3 4 2 3 2" xfId="14377" xr:uid="{B4B6568C-9228-4917-9DE0-6D1F935C155D}"/>
    <cellStyle name="Normal 2 4 2 3 4 2 4" xfId="10160" xr:uid="{CF892C5C-F19B-4DBF-8818-00CE2E1F29AA}"/>
    <cellStyle name="Normal 2 4 2 3 4 2 5" xfId="9332" xr:uid="{4E95A289-31C3-413C-8E6F-F3812692D99E}"/>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35" xr:uid="{E31D3369-267D-4F41-9FD9-361ADCD77A96}"/>
    <cellStyle name="Normal 2 4 2 3 4 3 2 3" xfId="12718" xr:uid="{42B306F7-1736-40C8-9DC3-B6908F800909}"/>
    <cellStyle name="Normal 2 4 2 3 4 3 3" xfId="5508" xr:uid="{00000000-0005-0000-0000-0000180F0000}"/>
    <cellStyle name="Normal 2 4 2 3 4 3 3 2" xfId="14790" xr:uid="{C82ECCB8-C043-43BA-B040-6307607F0D62}"/>
    <cellStyle name="Normal 2 4 2 3 4 3 4" xfId="10573" xr:uid="{D12EA433-9C09-41A2-96AE-5B0AF84BF9B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48" xr:uid="{DE7F9C78-D476-4B80-9F1C-6086FE93634C}"/>
    <cellStyle name="Normal 2 4 2 3 4 4 2 3" xfId="13131" xr:uid="{30039DE6-F514-4039-A12B-F46D49A3EB5A}"/>
    <cellStyle name="Normal 2 4 2 3 4 4 3" xfId="5921" xr:uid="{00000000-0005-0000-0000-00001C0F0000}"/>
    <cellStyle name="Normal 2 4 2 3 4 4 3 2" xfId="15203" xr:uid="{0914768D-7255-4CDA-9B4B-E7B4590A76EA}"/>
    <cellStyle name="Normal 2 4 2 3 4 4 4" xfId="10986" xr:uid="{F6CCF502-BE9C-41FB-994D-F9166739D836}"/>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761" xr:uid="{5CE2FB75-7424-4EC2-8849-6D277DBA0602}"/>
    <cellStyle name="Normal 2 4 2 3 4 5 2 3" xfId="13544" xr:uid="{2E74A8CF-ACA3-49E7-825A-9731A6A24953}"/>
    <cellStyle name="Normal 2 4 2 3 4 5 3" xfId="6334" xr:uid="{00000000-0005-0000-0000-0000200F0000}"/>
    <cellStyle name="Normal 2 4 2 3 4 5 3 2" xfId="15616" xr:uid="{15C637FF-594F-459E-993F-18C0FBCA1D8E}"/>
    <cellStyle name="Normal 2 4 2 3 4 5 4" xfId="11399" xr:uid="{2CB18561-C88E-493C-810B-2704289782F9}"/>
    <cellStyle name="Normal 2 4 2 3 4 6" xfId="2464" xr:uid="{00000000-0005-0000-0000-0000210F0000}"/>
    <cellStyle name="Normal 2 4 2 3 4 6 2" xfId="6747" xr:uid="{00000000-0005-0000-0000-0000220F0000}"/>
    <cellStyle name="Normal 2 4 2 3 4 6 2 2" xfId="16029" xr:uid="{85A4F0DD-8E43-41E1-8D47-53CA48FF3A6F}"/>
    <cellStyle name="Normal 2 4 2 3 4 6 3" xfId="11812" xr:uid="{93393BAB-DD3F-42A7-BD75-A05AE0A0B78B}"/>
    <cellStyle name="Normal 2 4 2 3 4 7" xfId="4681" xr:uid="{00000000-0005-0000-0000-0000230F0000}"/>
    <cellStyle name="Normal 2 4 2 3 4 7 2" xfId="13963" xr:uid="{1B6C95AE-6EA2-4731-B6B7-DCE0ED1DA541}"/>
    <cellStyle name="Normal 2 4 2 3 4 8" xfId="9746" xr:uid="{B00381DB-7032-4588-8CE6-8550360BDDC5}"/>
    <cellStyle name="Normal 2 4 2 3 4 9" xfId="8913" xr:uid="{A961BC0B-5423-47DD-A64F-AFFDC93B904C}"/>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15" xr:uid="{9F93F5B3-D6FF-4740-83F8-3B232C5203BF}"/>
    <cellStyle name="Normal 2 4 2 3 5 2 3" xfId="12298" xr:uid="{B337F685-A97B-4F36-BFEC-0559FF96DB7C}"/>
    <cellStyle name="Normal 2 4 2 3 5 3" xfId="5088" xr:uid="{00000000-0005-0000-0000-0000270F0000}"/>
    <cellStyle name="Normal 2 4 2 3 5 3 2" xfId="14370" xr:uid="{3279B1EA-C63B-4ECB-9202-5A7CAABACB65}"/>
    <cellStyle name="Normal 2 4 2 3 5 4" xfId="10153" xr:uid="{B78CCD94-1BE9-4F8F-9A31-F5CF2A9EF6C1}"/>
    <cellStyle name="Normal 2 4 2 3 5 5" xfId="9325" xr:uid="{43AFB8F3-C01D-44A3-B049-5530DCE7D2B8}"/>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28" xr:uid="{D9C302FA-B107-4773-A5FA-2401A158900B}"/>
    <cellStyle name="Normal 2 4 2 3 6 2 3" xfId="12711" xr:uid="{F0036A66-16EF-4A88-B27A-0BD0B4286662}"/>
    <cellStyle name="Normal 2 4 2 3 6 3" xfId="5501" xr:uid="{00000000-0005-0000-0000-00002B0F0000}"/>
    <cellStyle name="Normal 2 4 2 3 6 3 2" xfId="14783" xr:uid="{E4DC4F4B-1024-43CE-B1AA-8BB07CD98CE6}"/>
    <cellStyle name="Normal 2 4 2 3 6 4" xfId="10566" xr:uid="{CAE342E4-504B-4521-BB65-EAFCBC1CC80C}"/>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41" xr:uid="{9432C5C2-4B06-4C33-9729-3A2DEEEB6901}"/>
    <cellStyle name="Normal 2 4 2 3 7 2 3" xfId="13124" xr:uid="{9C05B693-2FD0-4B3A-822D-E2963073BB2F}"/>
    <cellStyle name="Normal 2 4 2 3 7 3" xfId="5914" xr:uid="{00000000-0005-0000-0000-00002F0F0000}"/>
    <cellStyle name="Normal 2 4 2 3 7 3 2" xfId="15196" xr:uid="{89339200-8D33-49B3-BCE4-B3FAA90DDD78}"/>
    <cellStyle name="Normal 2 4 2 3 7 4" xfId="10979" xr:uid="{4017E8A1-A46B-4DDC-A677-533277ADECF7}"/>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54" xr:uid="{A56BCD79-E6D4-41BB-941D-888E3E9B85E0}"/>
    <cellStyle name="Normal 2 4 2 3 8 2 3" xfId="13537" xr:uid="{32EDAC91-ABCC-488E-8AFB-E2C70C45A8C6}"/>
    <cellStyle name="Normal 2 4 2 3 8 3" xfId="6327" xr:uid="{00000000-0005-0000-0000-0000330F0000}"/>
    <cellStyle name="Normal 2 4 2 3 8 3 2" xfId="15609" xr:uid="{9D2D55F1-C8E1-448E-9BE2-0C09BD4CBA6F}"/>
    <cellStyle name="Normal 2 4 2 3 8 4" xfId="11392" xr:uid="{031FE81C-4FA0-4E01-85F7-65CAE2AB8E17}"/>
    <cellStyle name="Normal 2 4 2 3 9" xfId="2457" xr:uid="{00000000-0005-0000-0000-0000340F0000}"/>
    <cellStyle name="Normal 2 4 2 3 9 2" xfId="6740" xr:uid="{00000000-0005-0000-0000-0000350F0000}"/>
    <cellStyle name="Normal 2 4 2 3 9 2 2" xfId="16022" xr:uid="{D421DBD4-1476-42AB-9AB0-2901E8AD08D9}"/>
    <cellStyle name="Normal 2 4 2 3 9 3" xfId="11805" xr:uid="{A9BBE9F1-A496-4A7F-8D19-233823F07CA6}"/>
    <cellStyle name="Normal 2 4 2 4" xfId="289" xr:uid="{00000000-0005-0000-0000-0000360F0000}"/>
    <cellStyle name="Normal 2 4 2 4 10" xfId="9747" xr:uid="{08B25AE6-DD21-42C2-9680-37B19D25A0D5}"/>
    <cellStyle name="Normal 2 4 2 4 11" xfId="8914" xr:uid="{835AD58D-2A11-4C41-A0EA-8E69828E584B}"/>
    <cellStyle name="Normal 2 4 2 4 2" xfId="290" xr:uid="{00000000-0005-0000-0000-0000370F0000}"/>
    <cellStyle name="Normal 2 4 2 4 2 10" xfId="8915" xr:uid="{FB64C3FE-22E3-4BFB-B15B-4D6E96EBBD42}"/>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25" xr:uid="{4BB23ABE-8EB7-4701-91BC-6419204666FF}"/>
    <cellStyle name="Normal 2 4 2 4 2 2 2 2 3" xfId="12308" xr:uid="{CEC0A3CA-EE98-4265-9506-CAE41F9A3B24}"/>
    <cellStyle name="Normal 2 4 2 4 2 2 2 3" xfId="5098" xr:uid="{00000000-0005-0000-0000-00003C0F0000}"/>
    <cellStyle name="Normal 2 4 2 4 2 2 2 3 2" xfId="14380" xr:uid="{B20BBE07-B4B5-4D4F-8676-AECE0BA44510}"/>
    <cellStyle name="Normal 2 4 2 4 2 2 2 4" xfId="10163" xr:uid="{A7EF66AC-7967-4432-A3DD-CAA9F1754E1E}"/>
    <cellStyle name="Normal 2 4 2 4 2 2 2 5" xfId="9335" xr:uid="{03FE5EDC-F08B-4D55-9919-3DE23ACD4D7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38" xr:uid="{260FED2F-7E69-4ED9-8A7C-CC8D6D3ECDF0}"/>
    <cellStyle name="Normal 2 4 2 4 2 2 3 2 3" xfId="12721" xr:uid="{F4A22355-8C3A-48DD-91B6-40848706B77A}"/>
    <cellStyle name="Normal 2 4 2 4 2 2 3 3" xfId="5511" xr:uid="{00000000-0005-0000-0000-0000400F0000}"/>
    <cellStyle name="Normal 2 4 2 4 2 2 3 3 2" xfId="14793" xr:uid="{78400111-F8C7-4044-ACAB-0729556ED913}"/>
    <cellStyle name="Normal 2 4 2 4 2 2 3 4" xfId="10576" xr:uid="{51067970-5FD5-4648-AD1C-2F8A1B5B149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51" xr:uid="{7BBB37BE-8E67-4659-997F-43A510CAD47E}"/>
    <cellStyle name="Normal 2 4 2 4 2 2 4 2 3" xfId="13134" xr:uid="{7961FAAA-0A97-4A4C-AD64-7019A7131EE5}"/>
    <cellStyle name="Normal 2 4 2 4 2 2 4 3" xfId="5924" xr:uid="{00000000-0005-0000-0000-0000440F0000}"/>
    <cellStyle name="Normal 2 4 2 4 2 2 4 3 2" xfId="15206" xr:uid="{09427A6B-1A63-4A48-8E3D-AA4A2254ACF8}"/>
    <cellStyle name="Normal 2 4 2 4 2 2 4 4" xfId="10989" xr:uid="{C06E6E92-918C-44CB-AB44-861FB08A132A}"/>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764" xr:uid="{9FF8ADEE-3F71-42E5-B938-835D8B8BF842}"/>
    <cellStyle name="Normal 2 4 2 4 2 2 5 2 3" xfId="13547" xr:uid="{C59D08F2-1E40-46A8-8F5D-80CB7BB2E213}"/>
    <cellStyle name="Normal 2 4 2 4 2 2 5 3" xfId="6337" xr:uid="{00000000-0005-0000-0000-0000480F0000}"/>
    <cellStyle name="Normal 2 4 2 4 2 2 5 3 2" xfId="15619" xr:uid="{43A82AEF-29E7-44D3-8C9A-25F97ADFB57E}"/>
    <cellStyle name="Normal 2 4 2 4 2 2 5 4" xfId="11402" xr:uid="{3591A66D-7F62-4F05-9245-52C3F8B116CF}"/>
    <cellStyle name="Normal 2 4 2 4 2 2 6" xfId="2467" xr:uid="{00000000-0005-0000-0000-0000490F0000}"/>
    <cellStyle name="Normal 2 4 2 4 2 2 6 2" xfId="6750" xr:uid="{00000000-0005-0000-0000-00004A0F0000}"/>
    <cellStyle name="Normal 2 4 2 4 2 2 6 2 2" xfId="16032" xr:uid="{152FE2D8-5A00-4463-A410-D4386EC910E6}"/>
    <cellStyle name="Normal 2 4 2 4 2 2 6 3" xfId="11815" xr:uid="{8695941E-80E1-4015-9EDD-F0DBF044A28B}"/>
    <cellStyle name="Normal 2 4 2 4 2 2 7" xfId="4684" xr:uid="{00000000-0005-0000-0000-00004B0F0000}"/>
    <cellStyle name="Normal 2 4 2 4 2 2 7 2" xfId="13966" xr:uid="{D177B9AA-F129-449E-9444-77B05D58CC0D}"/>
    <cellStyle name="Normal 2 4 2 4 2 2 8" xfId="9749" xr:uid="{BB1D9E2B-F81E-4323-B6D5-ECD2AA041463}"/>
    <cellStyle name="Normal 2 4 2 4 2 2 9" xfId="8916" xr:uid="{AEA131E4-F263-436C-B437-6024A86EFFFA}"/>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24" xr:uid="{1DC10A2E-14D8-4E2D-AD9A-8A29E301D63C}"/>
    <cellStyle name="Normal 2 4 2 4 2 3 2 3" xfId="12307" xr:uid="{AEFE0CAB-052A-4E7C-AD07-FBAA454AF99D}"/>
    <cellStyle name="Normal 2 4 2 4 2 3 3" xfId="5097" xr:uid="{00000000-0005-0000-0000-00004F0F0000}"/>
    <cellStyle name="Normal 2 4 2 4 2 3 3 2" xfId="14379" xr:uid="{B3E8AF8D-F8DE-4DD5-B6C4-56B272DCDFD5}"/>
    <cellStyle name="Normal 2 4 2 4 2 3 4" xfId="10162" xr:uid="{A180F02F-A078-44CF-A9C0-02AB3ECDD501}"/>
    <cellStyle name="Normal 2 4 2 4 2 3 5" xfId="9334" xr:uid="{DA584143-98E1-4FC5-A4F5-97958926E61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37" xr:uid="{7E10B553-3CD3-4642-99D2-E739985756A8}"/>
    <cellStyle name="Normal 2 4 2 4 2 4 2 3" xfId="12720" xr:uid="{A7928CE4-176F-4F4F-AACA-FB213570D2C7}"/>
    <cellStyle name="Normal 2 4 2 4 2 4 3" xfId="5510" xr:uid="{00000000-0005-0000-0000-0000530F0000}"/>
    <cellStyle name="Normal 2 4 2 4 2 4 3 2" xfId="14792" xr:uid="{C2171065-BB62-473A-A447-F7ACCA69C2A5}"/>
    <cellStyle name="Normal 2 4 2 4 2 4 4" xfId="10575" xr:uid="{4198F714-B075-4F58-BAD4-4E29FE492C8D}"/>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50" xr:uid="{D0E15CB6-DB5D-45E5-B7A2-88CBA4D1CCCF}"/>
    <cellStyle name="Normal 2 4 2 4 2 5 2 3" xfId="13133" xr:uid="{2E51FBFA-5752-44D7-A776-8F35CD2E8CDB}"/>
    <cellStyle name="Normal 2 4 2 4 2 5 3" xfId="5923" xr:uid="{00000000-0005-0000-0000-0000570F0000}"/>
    <cellStyle name="Normal 2 4 2 4 2 5 3 2" xfId="15205" xr:uid="{D5582759-1FEA-4C48-8BC7-C86671183D6D}"/>
    <cellStyle name="Normal 2 4 2 4 2 5 4" xfId="10988" xr:uid="{0DBFF065-FB07-48E1-9013-78882DBB479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763" xr:uid="{04305B84-1C18-4CCF-8A97-6DE01BE0FFA3}"/>
    <cellStyle name="Normal 2 4 2 4 2 6 2 3" xfId="13546" xr:uid="{774F10ED-4A90-479B-8A91-ADBC366003F0}"/>
    <cellStyle name="Normal 2 4 2 4 2 6 3" xfId="6336" xr:uid="{00000000-0005-0000-0000-00005B0F0000}"/>
    <cellStyle name="Normal 2 4 2 4 2 6 3 2" xfId="15618" xr:uid="{1648DBBC-36C2-4E1E-BC32-8D64DBC6ACF8}"/>
    <cellStyle name="Normal 2 4 2 4 2 6 4" xfId="11401" xr:uid="{8CBB92CB-304F-437E-B8FA-50573986B6B6}"/>
    <cellStyle name="Normal 2 4 2 4 2 7" xfId="2466" xr:uid="{00000000-0005-0000-0000-00005C0F0000}"/>
    <cellStyle name="Normal 2 4 2 4 2 7 2" xfId="6749" xr:uid="{00000000-0005-0000-0000-00005D0F0000}"/>
    <cellStyle name="Normal 2 4 2 4 2 7 2 2" xfId="16031" xr:uid="{87B9CDEE-B88C-44AF-B3D0-AD8662EDB278}"/>
    <cellStyle name="Normal 2 4 2 4 2 7 3" xfId="11814" xr:uid="{EA59870D-86C7-4F75-AE10-F17618339BEB}"/>
    <cellStyle name="Normal 2 4 2 4 2 8" xfId="4683" xr:uid="{00000000-0005-0000-0000-00005E0F0000}"/>
    <cellStyle name="Normal 2 4 2 4 2 8 2" xfId="13965" xr:uid="{5BC9FA29-5B14-438B-B2DF-F443A54BEF41}"/>
    <cellStyle name="Normal 2 4 2 4 2 9" xfId="9748" xr:uid="{B29122CD-DB96-478A-8EFE-C2017013FA1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26" xr:uid="{61ECD94E-F1F9-4EA6-A332-635DE94B1B78}"/>
    <cellStyle name="Normal 2 4 2 4 3 2 2 3" xfId="12309" xr:uid="{6460A766-1AD7-42C0-9DE0-01B6398F03ED}"/>
    <cellStyle name="Normal 2 4 2 4 3 2 3" xfId="5099" xr:uid="{00000000-0005-0000-0000-0000630F0000}"/>
    <cellStyle name="Normal 2 4 2 4 3 2 3 2" xfId="14381" xr:uid="{2CD8F852-8502-4643-BEAD-42AA6DE5E6D3}"/>
    <cellStyle name="Normal 2 4 2 4 3 2 4" xfId="10164" xr:uid="{856B8A91-6799-41D6-87C7-5DCD7566C6BF}"/>
    <cellStyle name="Normal 2 4 2 4 3 2 5" xfId="9336" xr:uid="{5F8257CA-3958-4063-ABDB-51F91633BB6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39" xr:uid="{502EA625-3485-4188-9B30-44248C769685}"/>
    <cellStyle name="Normal 2 4 2 4 3 3 2 3" xfId="12722" xr:uid="{39C5E52C-C1BA-4181-9565-8E1EA5541103}"/>
    <cellStyle name="Normal 2 4 2 4 3 3 3" xfId="5512" xr:uid="{00000000-0005-0000-0000-0000670F0000}"/>
    <cellStyle name="Normal 2 4 2 4 3 3 3 2" xfId="14794" xr:uid="{7C7F3802-89B1-44CD-9BBE-D00915A65186}"/>
    <cellStyle name="Normal 2 4 2 4 3 3 4" xfId="10577" xr:uid="{3AB71F5F-B75D-410B-83F6-5A26E01A0C3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52" xr:uid="{47C2C6E7-6434-46BD-8CA5-3FF2569EF547}"/>
    <cellStyle name="Normal 2 4 2 4 3 4 2 3" xfId="13135" xr:uid="{D3F43952-CB56-479F-BFD1-7A882230017B}"/>
    <cellStyle name="Normal 2 4 2 4 3 4 3" xfId="5925" xr:uid="{00000000-0005-0000-0000-00006B0F0000}"/>
    <cellStyle name="Normal 2 4 2 4 3 4 3 2" xfId="15207" xr:uid="{74AD1FF6-4834-4A08-9E5B-60E5AD150684}"/>
    <cellStyle name="Normal 2 4 2 4 3 4 4" xfId="10990" xr:uid="{B8AE3412-BA69-41C1-ADD2-92174F8527E2}"/>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765" xr:uid="{CFE3B5F1-E435-4039-B007-A1AD3AD86DF8}"/>
    <cellStyle name="Normal 2 4 2 4 3 5 2 3" xfId="13548" xr:uid="{14E51984-65AE-4DE6-B757-4D1DC70F0460}"/>
    <cellStyle name="Normal 2 4 2 4 3 5 3" xfId="6338" xr:uid="{00000000-0005-0000-0000-00006F0F0000}"/>
    <cellStyle name="Normal 2 4 2 4 3 5 3 2" xfId="15620" xr:uid="{5F9F5552-6B8C-4289-A95A-D546EE53035A}"/>
    <cellStyle name="Normal 2 4 2 4 3 5 4" xfId="11403" xr:uid="{D8BA0117-A65A-41C0-B9C9-5B6990BFF59C}"/>
    <cellStyle name="Normal 2 4 2 4 3 6" xfId="2468" xr:uid="{00000000-0005-0000-0000-0000700F0000}"/>
    <cellStyle name="Normal 2 4 2 4 3 6 2" xfId="6751" xr:uid="{00000000-0005-0000-0000-0000710F0000}"/>
    <cellStyle name="Normal 2 4 2 4 3 6 2 2" xfId="16033" xr:uid="{BF0FBC15-0926-4CAD-9A2C-D7F5ECDCB07B}"/>
    <cellStyle name="Normal 2 4 2 4 3 6 3" xfId="11816" xr:uid="{E04BB4B4-4578-4FEC-B848-DE423D98AB25}"/>
    <cellStyle name="Normal 2 4 2 4 3 7" xfId="4685" xr:uid="{00000000-0005-0000-0000-0000720F0000}"/>
    <cellStyle name="Normal 2 4 2 4 3 7 2" xfId="13967" xr:uid="{05AFD030-2953-4CAB-AC68-4B33DE314F58}"/>
    <cellStyle name="Normal 2 4 2 4 3 8" xfId="9750" xr:uid="{E93CE51B-EF8C-4149-BE31-32AA904E4002}"/>
    <cellStyle name="Normal 2 4 2 4 3 9" xfId="8917" xr:uid="{39AEECD5-FF3F-4EB4-8407-5AFA383248BC}"/>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23" xr:uid="{33765FEA-3464-4F6E-8B67-EC563A704572}"/>
    <cellStyle name="Normal 2 4 2 4 4 2 3" xfId="12306" xr:uid="{FC0ED199-6753-42A8-BAC4-AE93C854BFDA}"/>
    <cellStyle name="Normal 2 4 2 4 4 3" xfId="5096" xr:uid="{00000000-0005-0000-0000-0000760F0000}"/>
    <cellStyle name="Normal 2 4 2 4 4 3 2" xfId="14378" xr:uid="{2BB34EB4-E515-43BC-AB83-5CD44A014951}"/>
    <cellStyle name="Normal 2 4 2 4 4 4" xfId="10161" xr:uid="{F60FE198-20DF-4CF9-B9C0-A404D55B0182}"/>
    <cellStyle name="Normal 2 4 2 4 4 5" xfId="9333" xr:uid="{61EE2E04-553D-45AB-8688-AFF0A988C1E7}"/>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36" xr:uid="{1755D62C-72EF-4A3B-8AB3-721DF05DF572}"/>
    <cellStyle name="Normal 2 4 2 4 5 2 3" xfId="12719" xr:uid="{C030C5BF-B138-4709-8FB1-469C0D1C6273}"/>
    <cellStyle name="Normal 2 4 2 4 5 3" xfId="5509" xr:uid="{00000000-0005-0000-0000-00007A0F0000}"/>
    <cellStyle name="Normal 2 4 2 4 5 3 2" xfId="14791" xr:uid="{28A4FB0C-B0C4-4B8E-ABB9-804FD311F0D5}"/>
    <cellStyle name="Normal 2 4 2 4 5 4" xfId="10574" xr:uid="{FD010506-6F3E-41AF-880C-B27E3E1978A6}"/>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49" xr:uid="{89880F9F-394C-48D0-AFC2-05C0FCE30A11}"/>
    <cellStyle name="Normal 2 4 2 4 6 2 3" xfId="13132" xr:uid="{174F1D6D-92D0-49C7-A1C5-39A4C77CE645}"/>
    <cellStyle name="Normal 2 4 2 4 6 3" xfId="5922" xr:uid="{00000000-0005-0000-0000-00007E0F0000}"/>
    <cellStyle name="Normal 2 4 2 4 6 3 2" xfId="15204" xr:uid="{DD414AE3-D556-4FDE-A622-A9D40273D407}"/>
    <cellStyle name="Normal 2 4 2 4 6 4" xfId="10987" xr:uid="{2CBD4EF2-335C-4F63-B5B1-6E3FE9383DAB}"/>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762" xr:uid="{79C214AE-FA87-40D6-BDA7-38977F8A0ACC}"/>
    <cellStyle name="Normal 2 4 2 4 7 2 3" xfId="13545" xr:uid="{9B78EE2F-E756-4929-B1AC-B49B32F14729}"/>
    <cellStyle name="Normal 2 4 2 4 7 3" xfId="6335" xr:uid="{00000000-0005-0000-0000-0000820F0000}"/>
    <cellStyle name="Normal 2 4 2 4 7 3 2" xfId="15617" xr:uid="{10DC5075-CCFF-41B6-871B-4EBE386F48D7}"/>
    <cellStyle name="Normal 2 4 2 4 7 4" xfId="11400" xr:uid="{71969A20-5F91-4663-A7D0-2716CB3F7F5E}"/>
    <cellStyle name="Normal 2 4 2 4 8" xfId="2465" xr:uid="{00000000-0005-0000-0000-0000830F0000}"/>
    <cellStyle name="Normal 2 4 2 4 8 2" xfId="6748" xr:uid="{00000000-0005-0000-0000-0000840F0000}"/>
    <cellStyle name="Normal 2 4 2 4 8 2 2" xfId="16030" xr:uid="{F809955F-D7C9-407F-85CA-3F512CFBC21A}"/>
    <cellStyle name="Normal 2 4 2 4 8 3" xfId="11813" xr:uid="{AF52C5B5-8C6D-41DE-8EDE-3FFBDB2739D7}"/>
    <cellStyle name="Normal 2 4 2 4 9" xfId="4682" xr:uid="{00000000-0005-0000-0000-0000850F0000}"/>
    <cellStyle name="Normal 2 4 2 4 9 2" xfId="13964" xr:uid="{9D2599A5-EC77-46DF-841B-68ADE9FCB265}"/>
    <cellStyle name="Normal 2 4 2 5" xfId="293" xr:uid="{00000000-0005-0000-0000-0000860F0000}"/>
    <cellStyle name="Normal 2 4 2 5 10" xfId="8918" xr:uid="{42BBC3DB-F21B-4305-9664-C8A54257E05B}"/>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28" xr:uid="{13512E96-7F7D-4EA8-913D-29FF19563E69}"/>
    <cellStyle name="Normal 2 4 2 5 2 2 2 3" xfId="12311" xr:uid="{63D4CEF2-DFEA-4AFD-805B-B5924C1F103E}"/>
    <cellStyle name="Normal 2 4 2 5 2 2 3" xfId="5101" xr:uid="{00000000-0005-0000-0000-00008B0F0000}"/>
    <cellStyle name="Normal 2 4 2 5 2 2 3 2" xfId="14383" xr:uid="{106A9251-FA87-4224-B597-03DB1CEE7BB3}"/>
    <cellStyle name="Normal 2 4 2 5 2 2 4" xfId="10166" xr:uid="{C996ABAA-49DB-4C14-9E70-93F4B334D7B7}"/>
    <cellStyle name="Normal 2 4 2 5 2 2 5" xfId="9338" xr:uid="{E1FECD7E-72B4-4AD4-86A8-EEDF5EBAAEF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41" xr:uid="{6E059C78-6BB6-4CA4-912A-06EF5AD421F4}"/>
    <cellStyle name="Normal 2 4 2 5 2 3 2 3" xfId="12724" xr:uid="{8BB136EB-05E7-4287-9BF4-6F3BC2E9B5FE}"/>
    <cellStyle name="Normal 2 4 2 5 2 3 3" xfId="5514" xr:uid="{00000000-0005-0000-0000-00008F0F0000}"/>
    <cellStyle name="Normal 2 4 2 5 2 3 3 2" xfId="14796" xr:uid="{89D98C6E-8FC3-4C43-A6CF-AB13764693F2}"/>
    <cellStyle name="Normal 2 4 2 5 2 3 4" xfId="10579" xr:uid="{C4A89E13-D90F-4D32-A9B6-307910540BB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54" xr:uid="{A6FB21DD-CF92-479C-A8C5-2CFA21DEBF46}"/>
    <cellStyle name="Normal 2 4 2 5 2 4 2 3" xfId="13137" xr:uid="{45281053-7333-4190-9AFE-6134358C7A66}"/>
    <cellStyle name="Normal 2 4 2 5 2 4 3" xfId="5927" xr:uid="{00000000-0005-0000-0000-0000930F0000}"/>
    <cellStyle name="Normal 2 4 2 5 2 4 3 2" xfId="15209" xr:uid="{AC155868-A784-4EC9-BAC6-1DC66B157871}"/>
    <cellStyle name="Normal 2 4 2 5 2 4 4" xfId="10992" xr:uid="{E6E53455-64C3-4EA8-B7DE-7F301ED1D47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767" xr:uid="{7519F534-3C4D-455A-A82C-D8165BC4EFDD}"/>
    <cellStyle name="Normal 2 4 2 5 2 5 2 3" xfId="13550" xr:uid="{620D0F0E-ACA4-4B8D-AFA7-1B8C33F51434}"/>
    <cellStyle name="Normal 2 4 2 5 2 5 3" xfId="6340" xr:uid="{00000000-0005-0000-0000-0000970F0000}"/>
    <cellStyle name="Normal 2 4 2 5 2 5 3 2" xfId="15622" xr:uid="{7A5873EB-AF10-4102-A76E-C9243003F3CD}"/>
    <cellStyle name="Normal 2 4 2 5 2 5 4" xfId="11405" xr:uid="{F2592633-6778-42C1-BF73-1EC66D168B71}"/>
    <cellStyle name="Normal 2 4 2 5 2 6" xfId="2470" xr:uid="{00000000-0005-0000-0000-0000980F0000}"/>
    <cellStyle name="Normal 2 4 2 5 2 6 2" xfId="6753" xr:uid="{00000000-0005-0000-0000-0000990F0000}"/>
    <cellStyle name="Normal 2 4 2 5 2 6 2 2" xfId="16035" xr:uid="{F19A7FC4-9DD1-4472-B5A3-F4B19663631C}"/>
    <cellStyle name="Normal 2 4 2 5 2 6 3" xfId="11818" xr:uid="{92EA4E69-2153-4F09-9060-0BDE0714E2BA}"/>
    <cellStyle name="Normal 2 4 2 5 2 7" xfId="4687" xr:uid="{00000000-0005-0000-0000-00009A0F0000}"/>
    <cellStyle name="Normal 2 4 2 5 2 7 2" xfId="13969" xr:uid="{61E60200-9444-480E-80BC-BE3E02A06A70}"/>
    <cellStyle name="Normal 2 4 2 5 2 8" xfId="9752" xr:uid="{D5470F7D-3D02-419F-8F20-FB9A24CC633F}"/>
    <cellStyle name="Normal 2 4 2 5 2 9" xfId="8919" xr:uid="{0852304F-DA61-4746-8B03-1FA5FDE33F55}"/>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27" xr:uid="{05DBFE66-6481-4F61-AD1A-C7DDAEACBE83}"/>
    <cellStyle name="Normal 2 4 2 5 3 2 3" xfId="12310" xr:uid="{73220FC6-85EE-4671-A81B-EC5AE2640071}"/>
    <cellStyle name="Normal 2 4 2 5 3 3" xfId="5100" xr:uid="{00000000-0005-0000-0000-00009E0F0000}"/>
    <cellStyle name="Normal 2 4 2 5 3 3 2" xfId="14382" xr:uid="{16FAC18A-D4AA-4EC8-B27A-3A40A932BE4A}"/>
    <cellStyle name="Normal 2 4 2 5 3 4" xfId="10165" xr:uid="{FD5126EE-E2CA-439E-9465-D8D7FBC296DA}"/>
    <cellStyle name="Normal 2 4 2 5 3 5" xfId="9337" xr:uid="{13DE4C84-16AA-48DF-B27C-BE582841217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40" xr:uid="{69FE4362-44D5-47BB-8894-5001F6D5190E}"/>
    <cellStyle name="Normal 2 4 2 5 4 2 3" xfId="12723" xr:uid="{14B1C6D3-D641-4840-916B-99073D299CD1}"/>
    <cellStyle name="Normal 2 4 2 5 4 3" xfId="5513" xr:uid="{00000000-0005-0000-0000-0000A20F0000}"/>
    <cellStyle name="Normal 2 4 2 5 4 3 2" xfId="14795" xr:uid="{67F3E7C7-14B9-4A65-A4CE-4F1AC8BADC2A}"/>
    <cellStyle name="Normal 2 4 2 5 4 4" xfId="10578" xr:uid="{B489DAAB-14B2-48AE-9DEF-2C1208A6F7D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53" xr:uid="{E9AD749A-B70E-4410-852F-24E3FFF1C54F}"/>
    <cellStyle name="Normal 2 4 2 5 5 2 3" xfId="13136" xr:uid="{DDBE5802-E583-4828-A09F-F55A5B7F320D}"/>
    <cellStyle name="Normal 2 4 2 5 5 3" xfId="5926" xr:uid="{00000000-0005-0000-0000-0000A60F0000}"/>
    <cellStyle name="Normal 2 4 2 5 5 3 2" xfId="15208" xr:uid="{175552E1-C206-406B-ACBF-97C3FC6775C3}"/>
    <cellStyle name="Normal 2 4 2 5 5 4" xfId="10991" xr:uid="{1664CF4F-29F5-41AE-840D-67E6C923184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766" xr:uid="{CC290FE6-9CA6-43A2-9F34-0767340F0185}"/>
    <cellStyle name="Normal 2 4 2 5 6 2 3" xfId="13549" xr:uid="{7BB25315-AD74-42C0-A86B-2FF274A375CF}"/>
    <cellStyle name="Normal 2 4 2 5 6 3" xfId="6339" xr:uid="{00000000-0005-0000-0000-0000AA0F0000}"/>
    <cellStyle name="Normal 2 4 2 5 6 3 2" xfId="15621" xr:uid="{083EDF30-458E-460B-AEC5-9D2824CE604B}"/>
    <cellStyle name="Normal 2 4 2 5 6 4" xfId="11404" xr:uid="{51022EA7-CAA4-436E-B275-F8C7E961B9D0}"/>
    <cellStyle name="Normal 2 4 2 5 7" xfId="2469" xr:uid="{00000000-0005-0000-0000-0000AB0F0000}"/>
    <cellStyle name="Normal 2 4 2 5 7 2" xfId="6752" xr:uid="{00000000-0005-0000-0000-0000AC0F0000}"/>
    <cellStyle name="Normal 2 4 2 5 7 2 2" xfId="16034" xr:uid="{4F73FC06-1C4F-423D-AF8F-FF6438F55BB9}"/>
    <cellStyle name="Normal 2 4 2 5 7 3" xfId="11817" xr:uid="{93D2C637-8C0D-4AAD-9BE9-37A858DE512B}"/>
    <cellStyle name="Normal 2 4 2 5 8" xfId="4686" xr:uid="{00000000-0005-0000-0000-0000AD0F0000}"/>
    <cellStyle name="Normal 2 4 2 5 8 2" xfId="13968" xr:uid="{B1C5E883-533A-4544-98E2-BF758DEB8308}"/>
    <cellStyle name="Normal 2 4 2 5 9" xfId="9751" xr:uid="{79E4A5F7-427D-4629-B859-907B2DE311EE}"/>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29" xr:uid="{82E6CA25-938D-4B20-BF2F-10D9C797476E}"/>
    <cellStyle name="Normal 2 4 2 6 2 2 3" xfId="12312" xr:uid="{AA7D90E7-1D1D-42C1-9820-D1B294D41C5A}"/>
    <cellStyle name="Normal 2 4 2 6 2 3" xfId="5102" xr:uid="{00000000-0005-0000-0000-0000B20F0000}"/>
    <cellStyle name="Normal 2 4 2 6 2 3 2" xfId="14384" xr:uid="{2D400883-7A4A-45A3-BF0A-E681868B0F41}"/>
    <cellStyle name="Normal 2 4 2 6 2 4" xfId="10167" xr:uid="{B00DAFC5-5093-4E71-8EA1-BE87F930DB66}"/>
    <cellStyle name="Normal 2 4 2 6 2 5" xfId="9339" xr:uid="{FD79C081-D8A5-4450-9005-C6C905D54D5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42" xr:uid="{BC3EBBD3-0B31-4B9E-9916-50941CB1DCF6}"/>
    <cellStyle name="Normal 2 4 2 6 3 2 3" xfId="12725" xr:uid="{D6817C48-FBC1-43AC-A521-3DFFEAA240D4}"/>
    <cellStyle name="Normal 2 4 2 6 3 3" xfId="5515" xr:uid="{00000000-0005-0000-0000-0000B60F0000}"/>
    <cellStyle name="Normal 2 4 2 6 3 3 2" xfId="14797" xr:uid="{622DFD99-8C7A-41F7-BD59-54BB73B06F76}"/>
    <cellStyle name="Normal 2 4 2 6 3 4" xfId="10580" xr:uid="{00B7C33C-AAB2-4AF1-AB85-ECA7A33EF7AF}"/>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55" xr:uid="{00688D72-DC7F-48F9-9A81-62692B70D602}"/>
    <cellStyle name="Normal 2 4 2 6 4 2 3" xfId="13138" xr:uid="{55BBF7B3-6E87-40D0-BD7C-C87EEA8B49CE}"/>
    <cellStyle name="Normal 2 4 2 6 4 3" xfId="5928" xr:uid="{00000000-0005-0000-0000-0000BA0F0000}"/>
    <cellStyle name="Normal 2 4 2 6 4 3 2" xfId="15210" xr:uid="{E7059A05-585C-4D2D-85B6-4059C7BCAA2B}"/>
    <cellStyle name="Normal 2 4 2 6 4 4" xfId="10993" xr:uid="{479BE7CA-3B2D-4EB2-AA86-4BAECEAF7E46}"/>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768" xr:uid="{3F66539C-C677-4F4A-BBCD-EB00E2548488}"/>
    <cellStyle name="Normal 2 4 2 6 5 2 3" xfId="13551" xr:uid="{61F00731-B504-4BB6-8984-73FEB3A06421}"/>
    <cellStyle name="Normal 2 4 2 6 5 3" xfId="6341" xr:uid="{00000000-0005-0000-0000-0000BE0F0000}"/>
    <cellStyle name="Normal 2 4 2 6 5 3 2" xfId="15623" xr:uid="{E38B2553-1188-41FF-A329-95094B277627}"/>
    <cellStyle name="Normal 2 4 2 6 5 4" xfId="11406" xr:uid="{CCFBC887-5045-40EA-9AAC-103CE4DDC466}"/>
    <cellStyle name="Normal 2 4 2 6 6" xfId="2471" xr:uid="{00000000-0005-0000-0000-0000BF0F0000}"/>
    <cellStyle name="Normal 2 4 2 6 6 2" xfId="6754" xr:uid="{00000000-0005-0000-0000-0000C00F0000}"/>
    <cellStyle name="Normal 2 4 2 6 6 2 2" xfId="16036" xr:uid="{070194DD-4D01-4532-AB45-88EC0A1ECC23}"/>
    <cellStyle name="Normal 2 4 2 6 6 3" xfId="11819" xr:uid="{67BB8678-12BA-4254-9FD0-D76ADB434D16}"/>
    <cellStyle name="Normal 2 4 2 6 7" xfId="4688" xr:uid="{00000000-0005-0000-0000-0000C10F0000}"/>
    <cellStyle name="Normal 2 4 2 6 7 2" xfId="13970" xr:uid="{3DB581D9-44F7-4659-8DDC-FC13804D5E24}"/>
    <cellStyle name="Normal 2 4 2 6 8" xfId="9753" xr:uid="{1DE26F5A-5EA9-491E-88F1-80EB0559191A}"/>
    <cellStyle name="Normal 2 4 2 6 9" xfId="8920" xr:uid="{8DB9B9EC-7C67-491F-BB88-C45B5EF51F9B}"/>
    <cellStyle name="Normal 2 4 2 7" xfId="771" xr:uid="{00000000-0005-0000-0000-0000C20F0000}"/>
    <cellStyle name="Normal 2 4 2 7 2" xfId="3010" xr:uid="{00000000-0005-0000-0000-0000C30F0000}"/>
    <cellStyle name="Normal 2 4 2 7 2 2" xfId="7232" xr:uid="{00000000-0005-0000-0000-0000C40F0000}"/>
    <cellStyle name="Normal 2 4 2 7 2 2 2" xfId="16514" xr:uid="{33E30A0B-CAB2-4D17-9B72-8F9AC74605E2}"/>
    <cellStyle name="Normal 2 4 2 7 2 3" xfId="12297" xr:uid="{9F99C88B-31A6-43F4-8B8D-CCABC2FF0940}"/>
    <cellStyle name="Normal 2 4 2 7 3" xfId="5087" xr:uid="{00000000-0005-0000-0000-0000C50F0000}"/>
    <cellStyle name="Normal 2 4 2 7 3 2" xfId="14369" xr:uid="{1E1F04F8-9063-4535-B5D0-0A32A4FCB32D}"/>
    <cellStyle name="Normal 2 4 2 7 4" xfId="10152" xr:uid="{5B9F6407-AF9F-4DF3-90F1-0E8807144C21}"/>
    <cellStyle name="Normal 2 4 2 7 5" xfId="9324" xr:uid="{CA57A94E-A1AF-4EB2-827F-78224743EB4B}"/>
    <cellStyle name="Normal 2 4 2 8" xfId="1193" xr:uid="{00000000-0005-0000-0000-0000C60F0000}"/>
    <cellStyle name="Normal 2 4 2 8 2" xfId="3423" xr:uid="{00000000-0005-0000-0000-0000C70F0000}"/>
    <cellStyle name="Normal 2 4 2 8 2 2" xfId="7645" xr:uid="{00000000-0005-0000-0000-0000C80F0000}"/>
    <cellStyle name="Normal 2 4 2 8 2 2 2" xfId="16927" xr:uid="{162398CC-B81C-47BF-A912-160C714A176F}"/>
    <cellStyle name="Normal 2 4 2 8 2 3" xfId="12710" xr:uid="{C692ADE7-D4BE-41C6-B538-DD26C67DB77E}"/>
    <cellStyle name="Normal 2 4 2 8 3" xfId="5500" xr:uid="{00000000-0005-0000-0000-0000C90F0000}"/>
    <cellStyle name="Normal 2 4 2 8 3 2" xfId="14782" xr:uid="{136497B0-37DF-4D9E-B31F-FDEE1CA38937}"/>
    <cellStyle name="Normal 2 4 2 8 4" xfId="10565" xr:uid="{173C721C-6CFB-4EA3-8E44-AD7229A2F762}"/>
    <cellStyle name="Normal 2 4 2 9" xfId="1606" xr:uid="{00000000-0005-0000-0000-0000CA0F0000}"/>
    <cellStyle name="Normal 2 4 2 9 2" xfId="3836" xr:uid="{00000000-0005-0000-0000-0000CB0F0000}"/>
    <cellStyle name="Normal 2 4 2 9 2 2" xfId="8058" xr:uid="{00000000-0005-0000-0000-0000CC0F0000}"/>
    <cellStyle name="Normal 2 4 2 9 2 2 2" xfId="17340" xr:uid="{736F35B5-3CF2-452D-97A3-32A178C3EB24}"/>
    <cellStyle name="Normal 2 4 2 9 2 3" xfId="13123" xr:uid="{C0E2B007-26F3-48F7-8BB4-7BE63B93285A}"/>
    <cellStyle name="Normal 2 4 2 9 3" xfId="5913" xr:uid="{00000000-0005-0000-0000-0000CD0F0000}"/>
    <cellStyle name="Normal 2 4 2 9 3 2" xfId="15195" xr:uid="{522FEAE8-E745-4728-8555-733C3BAE68A5}"/>
    <cellStyle name="Normal 2 4 2 9 4" xfId="10978" xr:uid="{A3E40ABF-7F45-4BE1-9F4D-A4A53587FF89}"/>
    <cellStyle name="Normal 2 4 3" xfId="296" xr:uid="{00000000-0005-0000-0000-0000CE0F0000}"/>
    <cellStyle name="Normal 2 4 3 10" xfId="9754" xr:uid="{ACCA7B04-8112-4BC9-B4C1-5F95A03A4751}"/>
    <cellStyle name="Normal 2 4 3 11" xfId="8921" xr:uid="{15491E39-4D90-43AE-9F83-973E88EDDCE5}"/>
    <cellStyle name="Normal 2 4 3 2" xfId="297" xr:uid="{00000000-0005-0000-0000-0000CF0F0000}"/>
    <cellStyle name="Normal 2 4 3 3" xfId="298" xr:uid="{00000000-0005-0000-0000-0000D00F0000}"/>
    <cellStyle name="Normal 2 4 3 3 10" xfId="9755" xr:uid="{08D1807F-B83E-45CF-821C-8E739B3DC09B}"/>
    <cellStyle name="Normal 2 4 3 3 11" xfId="8922" xr:uid="{AEE2FAEA-7F82-4B36-BD16-A270D42B8C00}"/>
    <cellStyle name="Normal 2 4 3 3 2" xfId="299" xr:uid="{00000000-0005-0000-0000-0000D10F0000}"/>
    <cellStyle name="Normal 2 4 3 3 2 10" xfId="8923" xr:uid="{7B6CD70D-58F9-45C3-BF9A-D58D2BC1B308}"/>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33" xr:uid="{F898CF9D-A209-4E7E-8E5C-4D1FC8AA74B3}"/>
    <cellStyle name="Normal 2 4 3 3 2 2 2 2 3" xfId="12316" xr:uid="{607AD477-F89D-4929-B7AD-F78EF8D441FB}"/>
    <cellStyle name="Normal 2 4 3 3 2 2 2 3" xfId="5106" xr:uid="{00000000-0005-0000-0000-0000D60F0000}"/>
    <cellStyle name="Normal 2 4 3 3 2 2 2 3 2" xfId="14388" xr:uid="{618C2C1F-4FED-4EAD-8F7B-6C52DC6B4A19}"/>
    <cellStyle name="Normal 2 4 3 3 2 2 2 4" xfId="10171" xr:uid="{7578319C-9170-435C-BEDA-CCC1CEBA198F}"/>
    <cellStyle name="Normal 2 4 3 3 2 2 2 5" xfId="9343" xr:uid="{7A2D381C-44D6-422D-9670-94C18BA39043}"/>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46" xr:uid="{50B033AB-AEB6-497B-A3F8-70E7D135FEB5}"/>
    <cellStyle name="Normal 2 4 3 3 2 2 3 2 3" xfId="12729" xr:uid="{CABC4646-99D2-4D59-85B5-D81C6EF0A607}"/>
    <cellStyle name="Normal 2 4 3 3 2 2 3 3" xfId="5519" xr:uid="{00000000-0005-0000-0000-0000DA0F0000}"/>
    <cellStyle name="Normal 2 4 3 3 2 2 3 3 2" xfId="14801" xr:uid="{A4EEE884-8A29-4350-A21C-271DB1E15A3A}"/>
    <cellStyle name="Normal 2 4 3 3 2 2 3 4" xfId="10584" xr:uid="{34F5FBED-38BE-4834-8E4C-90B8A40C172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359" xr:uid="{0E06FD54-2B18-45EA-A832-11FCE008E480}"/>
    <cellStyle name="Normal 2 4 3 3 2 2 4 2 3" xfId="13142" xr:uid="{0752AA1C-6BAC-477D-8A10-50F3AE935B83}"/>
    <cellStyle name="Normal 2 4 3 3 2 2 4 3" xfId="5932" xr:uid="{00000000-0005-0000-0000-0000DE0F0000}"/>
    <cellStyle name="Normal 2 4 3 3 2 2 4 3 2" xfId="15214" xr:uid="{AAEB4A99-642F-45C6-8862-F46D6174FA74}"/>
    <cellStyle name="Normal 2 4 3 3 2 2 4 4" xfId="10997" xr:uid="{B03447CD-1720-4582-87E1-A030E27FEAB1}"/>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772" xr:uid="{318F3F1E-B995-4C12-B2B6-33D0BFE95840}"/>
    <cellStyle name="Normal 2 4 3 3 2 2 5 2 3" xfId="13555" xr:uid="{DB19F01D-C24C-442B-A7C6-F36C451C7BE0}"/>
    <cellStyle name="Normal 2 4 3 3 2 2 5 3" xfId="6345" xr:uid="{00000000-0005-0000-0000-0000E20F0000}"/>
    <cellStyle name="Normal 2 4 3 3 2 2 5 3 2" xfId="15627" xr:uid="{29E848B2-3BDA-4D1B-9C08-66EBECAD93D4}"/>
    <cellStyle name="Normal 2 4 3 3 2 2 5 4" xfId="11410" xr:uid="{07AF5419-5DD7-49C5-9231-B9608E502B9F}"/>
    <cellStyle name="Normal 2 4 3 3 2 2 6" xfId="2475" xr:uid="{00000000-0005-0000-0000-0000E30F0000}"/>
    <cellStyle name="Normal 2 4 3 3 2 2 6 2" xfId="6758" xr:uid="{00000000-0005-0000-0000-0000E40F0000}"/>
    <cellStyle name="Normal 2 4 3 3 2 2 6 2 2" xfId="16040" xr:uid="{949E5A73-DCBB-477F-99A1-4CBDDD4F74C2}"/>
    <cellStyle name="Normal 2 4 3 3 2 2 6 3" xfId="11823" xr:uid="{AEDF5CBE-3057-4072-B416-E7DCC55987FB}"/>
    <cellStyle name="Normal 2 4 3 3 2 2 7" xfId="4692" xr:uid="{00000000-0005-0000-0000-0000E50F0000}"/>
    <cellStyle name="Normal 2 4 3 3 2 2 7 2" xfId="13974" xr:uid="{C2565F3B-2503-433F-926C-3C47C3388573}"/>
    <cellStyle name="Normal 2 4 3 3 2 2 8" xfId="9757" xr:uid="{0BEA59DE-92B7-4BDF-99A8-2E03D6C70858}"/>
    <cellStyle name="Normal 2 4 3 3 2 2 9" xfId="8924" xr:uid="{C5617EC6-EF76-4293-AB6A-1FB2857F0511}"/>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32" xr:uid="{C0AD4C10-ED3A-45F3-B743-0372ACF39F8E}"/>
    <cellStyle name="Normal 2 4 3 3 2 3 2 3" xfId="12315" xr:uid="{C4C5021E-EC0D-41B9-A8B1-7BE083DF70A6}"/>
    <cellStyle name="Normal 2 4 3 3 2 3 3" xfId="5105" xr:uid="{00000000-0005-0000-0000-0000E90F0000}"/>
    <cellStyle name="Normal 2 4 3 3 2 3 3 2" xfId="14387" xr:uid="{F7F50448-F270-480B-AEC9-A550CB79D198}"/>
    <cellStyle name="Normal 2 4 3 3 2 3 4" xfId="10170" xr:uid="{13ED8B08-562D-4ADD-8995-E9F43E6F61B7}"/>
    <cellStyle name="Normal 2 4 3 3 2 3 5" xfId="9342" xr:uid="{771CE1CD-BF37-4495-B600-E4C212704936}"/>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45" xr:uid="{3E63A1F2-2B7A-42FD-9BEB-B3AF872D90D5}"/>
    <cellStyle name="Normal 2 4 3 3 2 4 2 3" xfId="12728" xr:uid="{3C43F680-88F4-46FC-9592-89D0060247F7}"/>
    <cellStyle name="Normal 2 4 3 3 2 4 3" xfId="5518" xr:uid="{00000000-0005-0000-0000-0000ED0F0000}"/>
    <cellStyle name="Normal 2 4 3 3 2 4 3 2" xfId="14800" xr:uid="{6753EE8A-7F82-42D1-A188-3D56B947D88B}"/>
    <cellStyle name="Normal 2 4 3 3 2 4 4" xfId="10583" xr:uid="{C4A498EE-4F17-4FDE-9868-F27FCD2BE35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358" xr:uid="{B39BED15-2C77-4D30-BBEC-21C8EE8D0D67}"/>
    <cellStyle name="Normal 2 4 3 3 2 5 2 3" xfId="13141" xr:uid="{93949A98-0CEC-4744-B516-C4FF130D8246}"/>
    <cellStyle name="Normal 2 4 3 3 2 5 3" xfId="5931" xr:uid="{00000000-0005-0000-0000-0000F10F0000}"/>
    <cellStyle name="Normal 2 4 3 3 2 5 3 2" xfId="15213" xr:uid="{422E6E5B-0665-4F9A-B65D-E78CD19721E3}"/>
    <cellStyle name="Normal 2 4 3 3 2 5 4" xfId="10996" xr:uid="{AE5CB364-24CF-485E-B704-28E970DB57FB}"/>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771" xr:uid="{DCF3F2AA-26C1-4144-9395-0A96A7DFC5EA}"/>
    <cellStyle name="Normal 2 4 3 3 2 6 2 3" xfId="13554" xr:uid="{E3AC0B85-A428-4809-B6AE-5F631842FD8E}"/>
    <cellStyle name="Normal 2 4 3 3 2 6 3" xfId="6344" xr:uid="{00000000-0005-0000-0000-0000F50F0000}"/>
    <cellStyle name="Normal 2 4 3 3 2 6 3 2" xfId="15626" xr:uid="{33AA3A25-3038-4464-85A0-77A07F9CCBF5}"/>
    <cellStyle name="Normal 2 4 3 3 2 6 4" xfId="11409" xr:uid="{0556F151-97EA-441A-B6F5-A1141E2DC5FE}"/>
    <cellStyle name="Normal 2 4 3 3 2 7" xfId="2474" xr:uid="{00000000-0005-0000-0000-0000F60F0000}"/>
    <cellStyle name="Normal 2 4 3 3 2 7 2" xfId="6757" xr:uid="{00000000-0005-0000-0000-0000F70F0000}"/>
    <cellStyle name="Normal 2 4 3 3 2 7 2 2" xfId="16039" xr:uid="{AF9966FA-D52C-4D01-82A8-3A474F1CF554}"/>
    <cellStyle name="Normal 2 4 3 3 2 7 3" xfId="11822" xr:uid="{B7BEA4AA-383E-4A0B-A82A-D0974349D775}"/>
    <cellStyle name="Normal 2 4 3 3 2 8" xfId="4691" xr:uid="{00000000-0005-0000-0000-0000F80F0000}"/>
    <cellStyle name="Normal 2 4 3 3 2 8 2" xfId="13973" xr:uid="{BF76E8A7-8119-41B2-BAAC-BD8ADB17B9E8}"/>
    <cellStyle name="Normal 2 4 3 3 2 9" xfId="9756" xr:uid="{A1EF3B50-C64E-49E7-85FC-107FB586598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34" xr:uid="{9F1EFEEB-2522-47FC-81C0-09E7CAA4A7B6}"/>
    <cellStyle name="Normal 2 4 3 3 3 2 2 3" xfId="12317" xr:uid="{ED23786A-6E0D-4DD3-B2DF-9230ED76F7BA}"/>
    <cellStyle name="Normal 2 4 3 3 3 2 3" xfId="5107" xr:uid="{00000000-0005-0000-0000-0000FD0F0000}"/>
    <cellStyle name="Normal 2 4 3 3 3 2 3 2" xfId="14389" xr:uid="{4D2B986E-8919-4817-98A8-64B89801ACCC}"/>
    <cellStyle name="Normal 2 4 3 3 3 2 4" xfId="10172" xr:uid="{307733D4-E8BE-4FE9-AC27-17B8D3F10BE9}"/>
    <cellStyle name="Normal 2 4 3 3 3 2 5" xfId="9344" xr:uid="{4A10D6B4-FAB9-4D15-96AE-042A0A39178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47" xr:uid="{9B73BD59-0C16-4B0C-BBED-FDCDE7F728AB}"/>
    <cellStyle name="Normal 2 4 3 3 3 3 2 3" xfId="12730" xr:uid="{4E8E4384-ACB6-45CF-A3E4-325F096C1862}"/>
    <cellStyle name="Normal 2 4 3 3 3 3 3" xfId="5520" xr:uid="{00000000-0005-0000-0000-000001100000}"/>
    <cellStyle name="Normal 2 4 3 3 3 3 3 2" xfId="14802" xr:uid="{47FF1C7A-4328-470F-81BF-64EE17690E37}"/>
    <cellStyle name="Normal 2 4 3 3 3 3 4" xfId="10585" xr:uid="{757E407E-58C2-4FB1-9402-3F69AE3D82F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360" xr:uid="{D71A529E-CE9E-41EA-B067-83915AEA7FA2}"/>
    <cellStyle name="Normal 2 4 3 3 3 4 2 3" xfId="13143" xr:uid="{6DF81C5E-185E-4698-AD86-176D6EE10993}"/>
    <cellStyle name="Normal 2 4 3 3 3 4 3" xfId="5933" xr:uid="{00000000-0005-0000-0000-000005100000}"/>
    <cellStyle name="Normal 2 4 3 3 3 4 3 2" xfId="15215" xr:uid="{543CA3BD-EDF3-451C-901A-A776D111AB0B}"/>
    <cellStyle name="Normal 2 4 3 3 3 4 4" xfId="10998" xr:uid="{FAD9A5D4-595F-4143-BA62-2F3090B7195D}"/>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773" xr:uid="{A3DCA96A-981A-45F4-BEDD-E17E2BFEA5E7}"/>
    <cellStyle name="Normal 2 4 3 3 3 5 2 3" xfId="13556" xr:uid="{7FD8C360-60A4-4DCA-897B-2004629CE8E0}"/>
    <cellStyle name="Normal 2 4 3 3 3 5 3" xfId="6346" xr:uid="{00000000-0005-0000-0000-000009100000}"/>
    <cellStyle name="Normal 2 4 3 3 3 5 3 2" xfId="15628" xr:uid="{2B8B7FD5-70B0-4E93-98C4-B1F7B0C1D8F0}"/>
    <cellStyle name="Normal 2 4 3 3 3 5 4" xfId="11411" xr:uid="{696837EF-B43E-4E5F-9F91-EF2158014D29}"/>
    <cellStyle name="Normal 2 4 3 3 3 6" xfId="2476" xr:uid="{00000000-0005-0000-0000-00000A100000}"/>
    <cellStyle name="Normal 2 4 3 3 3 6 2" xfId="6759" xr:uid="{00000000-0005-0000-0000-00000B100000}"/>
    <cellStyle name="Normal 2 4 3 3 3 6 2 2" xfId="16041" xr:uid="{9004CD07-D705-4759-A775-2345977BA66C}"/>
    <cellStyle name="Normal 2 4 3 3 3 6 3" xfId="11824" xr:uid="{3DFBC17C-A326-44C2-95C1-E30C001A42A3}"/>
    <cellStyle name="Normal 2 4 3 3 3 7" xfId="4693" xr:uid="{00000000-0005-0000-0000-00000C100000}"/>
    <cellStyle name="Normal 2 4 3 3 3 7 2" xfId="13975" xr:uid="{689819B4-9111-46F8-8732-CA86882BDC3E}"/>
    <cellStyle name="Normal 2 4 3 3 3 8" xfId="9758" xr:uid="{64A114CC-9BB4-420F-9799-8C63F65CDAFB}"/>
    <cellStyle name="Normal 2 4 3 3 3 9" xfId="8925" xr:uid="{9163F959-341C-426E-8647-CDFAB97BEF4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31" xr:uid="{D4C0AB00-6BB8-493D-BF40-FAB929C4FF49}"/>
    <cellStyle name="Normal 2 4 3 3 4 2 3" xfId="12314" xr:uid="{E0A82AD9-2090-4D25-B342-9FC1B6E3C9F5}"/>
    <cellStyle name="Normal 2 4 3 3 4 3" xfId="5104" xr:uid="{00000000-0005-0000-0000-000010100000}"/>
    <cellStyle name="Normal 2 4 3 3 4 3 2" xfId="14386" xr:uid="{E963C8D9-76EF-456B-8C98-E723EF5E93A5}"/>
    <cellStyle name="Normal 2 4 3 3 4 4" xfId="10169" xr:uid="{05605DF5-2954-469E-BD8C-A586ECD033BC}"/>
    <cellStyle name="Normal 2 4 3 3 4 5" xfId="9341" xr:uid="{FFE648E4-097D-401F-A802-AA1F16418C60}"/>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44" xr:uid="{7E3D3700-CE00-42F9-81A5-4FC830C02850}"/>
    <cellStyle name="Normal 2 4 3 3 5 2 3" xfId="12727" xr:uid="{C4574458-1453-4A19-BA30-1BC6B2821CE0}"/>
    <cellStyle name="Normal 2 4 3 3 5 3" xfId="5517" xr:uid="{00000000-0005-0000-0000-000014100000}"/>
    <cellStyle name="Normal 2 4 3 3 5 3 2" xfId="14799" xr:uid="{7C24EB03-51F9-4EC2-BBE9-0B13D949EAB4}"/>
    <cellStyle name="Normal 2 4 3 3 5 4" xfId="10582" xr:uid="{65D1FF64-FFE0-46FE-8946-26C78C94BDF2}"/>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357" xr:uid="{BF12D9CC-5C1B-4972-BBF9-C775A97BD2AE}"/>
    <cellStyle name="Normal 2 4 3 3 6 2 3" xfId="13140" xr:uid="{913670D4-30ED-4982-AC9C-567DB25186DA}"/>
    <cellStyle name="Normal 2 4 3 3 6 3" xfId="5930" xr:uid="{00000000-0005-0000-0000-000018100000}"/>
    <cellStyle name="Normal 2 4 3 3 6 3 2" xfId="15212" xr:uid="{5D77CF2D-A0EE-4E74-9467-902910442DB7}"/>
    <cellStyle name="Normal 2 4 3 3 6 4" xfId="10995" xr:uid="{1F8E1A04-A911-4B5F-9724-51A76BDA0BF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770" xr:uid="{C75B35B3-7EB1-4796-8F2E-CC04362752B4}"/>
    <cellStyle name="Normal 2 4 3 3 7 2 3" xfId="13553" xr:uid="{7F7E4C30-FBAF-4787-9DA9-9F4B8D9877DC}"/>
    <cellStyle name="Normal 2 4 3 3 7 3" xfId="6343" xr:uid="{00000000-0005-0000-0000-00001C100000}"/>
    <cellStyle name="Normal 2 4 3 3 7 3 2" xfId="15625" xr:uid="{F6FD6C8F-D1ED-429B-AF81-C1A1517D13D0}"/>
    <cellStyle name="Normal 2 4 3 3 7 4" xfId="11408" xr:uid="{572935C0-A442-45AC-AC36-D44ACDF19FB9}"/>
    <cellStyle name="Normal 2 4 3 3 8" xfId="2473" xr:uid="{00000000-0005-0000-0000-00001D100000}"/>
    <cellStyle name="Normal 2 4 3 3 8 2" xfId="6756" xr:uid="{00000000-0005-0000-0000-00001E100000}"/>
    <cellStyle name="Normal 2 4 3 3 8 2 2" xfId="16038" xr:uid="{DA7BCC82-07D3-4140-B6FE-B0F460FF85C2}"/>
    <cellStyle name="Normal 2 4 3 3 8 3" xfId="11821" xr:uid="{4529A795-DD21-406C-9BA0-0FB363C8C51E}"/>
    <cellStyle name="Normal 2 4 3 3 9" xfId="4690" xr:uid="{00000000-0005-0000-0000-00001F100000}"/>
    <cellStyle name="Normal 2 4 3 3 9 2" xfId="13972" xr:uid="{6B4EF5BD-4B25-4731-9698-972390ADFF56}"/>
    <cellStyle name="Normal 2 4 3 4" xfId="787" xr:uid="{00000000-0005-0000-0000-000020100000}"/>
    <cellStyle name="Normal 2 4 3 4 2" xfId="3026" xr:uid="{00000000-0005-0000-0000-000021100000}"/>
    <cellStyle name="Normal 2 4 3 4 2 2" xfId="7248" xr:uid="{00000000-0005-0000-0000-000022100000}"/>
    <cellStyle name="Normal 2 4 3 4 2 2 2" xfId="16530" xr:uid="{5B383240-B88B-4B7A-A0C7-32FC3FDE3EC3}"/>
    <cellStyle name="Normal 2 4 3 4 2 3" xfId="12313" xr:uid="{833D9ADC-25B0-4739-A018-A425A84538CB}"/>
    <cellStyle name="Normal 2 4 3 4 3" xfId="5103" xr:uid="{00000000-0005-0000-0000-000023100000}"/>
    <cellStyle name="Normal 2 4 3 4 3 2" xfId="14385" xr:uid="{B939FE0E-8BCB-4D62-8731-C48FA879A3C9}"/>
    <cellStyle name="Normal 2 4 3 4 4" xfId="10168" xr:uid="{FF2778AC-93A3-476E-840B-A8344C5B2B83}"/>
    <cellStyle name="Normal 2 4 3 4 5" xfId="9340" xr:uid="{1ECEFEDD-46F7-4AA1-BB16-BE2B1D511E71}"/>
    <cellStyle name="Normal 2 4 3 5" xfId="1209" xr:uid="{00000000-0005-0000-0000-000024100000}"/>
    <cellStyle name="Normal 2 4 3 5 2" xfId="3439" xr:uid="{00000000-0005-0000-0000-000025100000}"/>
    <cellStyle name="Normal 2 4 3 5 2 2" xfId="7661" xr:uid="{00000000-0005-0000-0000-000026100000}"/>
    <cellStyle name="Normal 2 4 3 5 2 2 2" xfId="16943" xr:uid="{3919D038-B528-4EFB-AE07-EB53DEEBDA70}"/>
    <cellStyle name="Normal 2 4 3 5 2 3" xfId="12726" xr:uid="{9E9C2E5B-A164-41BD-9ACF-D92813360402}"/>
    <cellStyle name="Normal 2 4 3 5 3" xfId="5516" xr:uid="{00000000-0005-0000-0000-000027100000}"/>
    <cellStyle name="Normal 2 4 3 5 3 2" xfId="14798" xr:uid="{1416995D-C657-48D3-90AF-741F0DE1BA27}"/>
    <cellStyle name="Normal 2 4 3 5 4" xfId="10581" xr:uid="{586D4899-F483-4B2F-B6BE-63D9EB41ED4A}"/>
    <cellStyle name="Normal 2 4 3 6" xfId="1622" xr:uid="{00000000-0005-0000-0000-000028100000}"/>
    <cellStyle name="Normal 2 4 3 6 2" xfId="3852" xr:uid="{00000000-0005-0000-0000-000029100000}"/>
    <cellStyle name="Normal 2 4 3 6 2 2" xfId="8074" xr:uid="{00000000-0005-0000-0000-00002A100000}"/>
    <cellStyle name="Normal 2 4 3 6 2 2 2" xfId="17356" xr:uid="{4B551BB6-5E30-4921-94E2-C4A6A6789804}"/>
    <cellStyle name="Normal 2 4 3 6 2 3" xfId="13139" xr:uid="{77D7D9A1-D5EF-4967-A4EC-039ED951FC8E}"/>
    <cellStyle name="Normal 2 4 3 6 3" xfId="5929" xr:uid="{00000000-0005-0000-0000-00002B100000}"/>
    <cellStyle name="Normal 2 4 3 6 3 2" xfId="15211" xr:uid="{169AB0AB-8808-473F-BEE9-F6D8F476DD86}"/>
    <cellStyle name="Normal 2 4 3 6 4" xfId="10994" xr:uid="{23B4E1FE-9E14-4CB5-930F-2D21CE48330C}"/>
    <cellStyle name="Normal 2 4 3 7" xfId="2036" xr:uid="{00000000-0005-0000-0000-00002C100000}"/>
    <cellStyle name="Normal 2 4 3 7 2" xfId="4265" xr:uid="{00000000-0005-0000-0000-00002D100000}"/>
    <cellStyle name="Normal 2 4 3 7 2 2" xfId="8487" xr:uid="{00000000-0005-0000-0000-00002E100000}"/>
    <cellStyle name="Normal 2 4 3 7 2 2 2" xfId="17769" xr:uid="{33131389-24B7-4404-A45D-9B69741F3998}"/>
    <cellStyle name="Normal 2 4 3 7 2 3" xfId="13552" xr:uid="{5DDE88BF-0218-4CBC-8C0C-31547C155DE2}"/>
    <cellStyle name="Normal 2 4 3 7 3" xfId="6342" xr:uid="{00000000-0005-0000-0000-00002F100000}"/>
    <cellStyle name="Normal 2 4 3 7 3 2" xfId="15624" xr:uid="{2283D372-4B96-47FB-BF94-B13E974AB8F4}"/>
    <cellStyle name="Normal 2 4 3 7 4" xfId="11407" xr:uid="{95053F98-6987-454C-AFA2-11D996035E22}"/>
    <cellStyle name="Normal 2 4 3 8" xfId="2472" xr:uid="{00000000-0005-0000-0000-000030100000}"/>
    <cellStyle name="Normal 2 4 3 8 2" xfId="6755" xr:uid="{00000000-0005-0000-0000-000031100000}"/>
    <cellStyle name="Normal 2 4 3 8 2 2" xfId="16037" xr:uid="{CEC6049C-7ACF-48B6-8680-EF2D5B15F5E8}"/>
    <cellStyle name="Normal 2 4 3 8 3" xfId="11820" xr:uid="{9CCD3F81-4852-4343-9104-EB96FFD603B6}"/>
    <cellStyle name="Normal 2 4 3 9" xfId="4689" xr:uid="{00000000-0005-0000-0000-000032100000}"/>
    <cellStyle name="Normal 2 4 3 9 2" xfId="13971" xr:uid="{445A8E42-A4C8-4AAD-A94C-E0A353A7B427}"/>
    <cellStyle name="Normal 2 4 4" xfId="302" xr:uid="{00000000-0005-0000-0000-000033100000}"/>
    <cellStyle name="Normal 2 4 5" xfId="303" xr:uid="{00000000-0005-0000-0000-000034100000}"/>
    <cellStyle name="Normal 2 4 5 10" xfId="4694" xr:uid="{00000000-0005-0000-0000-000035100000}"/>
    <cellStyle name="Normal 2 4 5 10 2" xfId="13976" xr:uid="{A99D9735-BC13-416D-8DE6-CB47D99AA12C}"/>
    <cellStyle name="Normal 2 4 5 11" xfId="9759" xr:uid="{FDF8ECE0-406F-4CDD-A3C9-7A3D5910DB14}"/>
    <cellStyle name="Normal 2 4 5 12" xfId="8926" xr:uid="{5CAEECDF-EEE2-4B8A-A9CF-159C2E4EECB1}"/>
    <cellStyle name="Normal 2 4 5 2" xfId="304" xr:uid="{00000000-0005-0000-0000-000036100000}"/>
    <cellStyle name="Normal 2 4 5 2 10" xfId="9760" xr:uid="{64003EE4-1991-4BCF-B502-79C90D0DBFA4}"/>
    <cellStyle name="Normal 2 4 5 2 11" xfId="8927" xr:uid="{E9A15B52-571C-4FDE-8E85-E4398052623C}"/>
    <cellStyle name="Normal 2 4 5 2 2" xfId="305" xr:uid="{00000000-0005-0000-0000-000037100000}"/>
    <cellStyle name="Normal 2 4 5 2 2 10" xfId="8928" xr:uid="{51295B17-6B6D-4798-8E01-00EBFA6C2346}"/>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38" xr:uid="{33F1EE6B-774F-4683-B3E7-5ABF9EF8F2C9}"/>
    <cellStyle name="Normal 2 4 5 2 2 2 2 2 3" xfId="12321" xr:uid="{3B9C2EAF-CEA8-4A9C-9FA5-F4DD7CE27D13}"/>
    <cellStyle name="Normal 2 4 5 2 2 2 2 3" xfId="5111" xr:uid="{00000000-0005-0000-0000-00003C100000}"/>
    <cellStyle name="Normal 2 4 5 2 2 2 2 3 2" xfId="14393" xr:uid="{A7369521-54DF-45E1-BDA6-1FA0841E0BC0}"/>
    <cellStyle name="Normal 2 4 5 2 2 2 2 4" xfId="10176" xr:uid="{300C0971-A6ED-41B1-BC5A-FA4C35F3AD47}"/>
    <cellStyle name="Normal 2 4 5 2 2 2 2 5" xfId="9348" xr:uid="{CB4A58C0-79AA-4C1D-9CFA-5A110F1C2A0D}"/>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51" xr:uid="{2268E970-7289-42C4-A169-42FFEB7D3757}"/>
    <cellStyle name="Normal 2 4 5 2 2 2 3 2 3" xfId="12734" xr:uid="{EB604469-4AE3-45E6-915B-C54AB260602C}"/>
    <cellStyle name="Normal 2 4 5 2 2 2 3 3" xfId="5524" xr:uid="{00000000-0005-0000-0000-000040100000}"/>
    <cellStyle name="Normal 2 4 5 2 2 2 3 3 2" xfId="14806" xr:uid="{772F1F57-BD4E-4DF5-99ED-2EE4192F966D}"/>
    <cellStyle name="Normal 2 4 5 2 2 2 3 4" xfId="10589" xr:uid="{579E2651-E744-4998-8690-20ECEE03057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364" xr:uid="{55F3E8C6-8154-459E-B1EC-58FD6FF0780D}"/>
    <cellStyle name="Normal 2 4 5 2 2 2 4 2 3" xfId="13147" xr:uid="{425BD002-6BC9-49D0-AA98-5F00FB83EDE7}"/>
    <cellStyle name="Normal 2 4 5 2 2 2 4 3" xfId="5937" xr:uid="{00000000-0005-0000-0000-000044100000}"/>
    <cellStyle name="Normal 2 4 5 2 2 2 4 3 2" xfId="15219" xr:uid="{6EC708CC-1B3C-4BA0-BF7E-24CB1CF0BD34}"/>
    <cellStyle name="Normal 2 4 5 2 2 2 4 4" xfId="11002" xr:uid="{0187C7D5-7DE2-414B-8C58-7093D6123A9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777" xr:uid="{4760291C-CE2C-4E5E-971C-B724DCD1F1E7}"/>
    <cellStyle name="Normal 2 4 5 2 2 2 5 2 3" xfId="13560" xr:uid="{E13BA52D-7828-49F4-AEFE-0DCC747FEAED}"/>
    <cellStyle name="Normal 2 4 5 2 2 2 5 3" xfId="6350" xr:uid="{00000000-0005-0000-0000-000048100000}"/>
    <cellStyle name="Normal 2 4 5 2 2 2 5 3 2" xfId="15632" xr:uid="{097F1046-8311-424A-873A-86824D701756}"/>
    <cellStyle name="Normal 2 4 5 2 2 2 5 4" xfId="11415" xr:uid="{B90B1BDE-E251-4F42-8687-28BBC1B499F9}"/>
    <cellStyle name="Normal 2 4 5 2 2 2 6" xfId="2480" xr:uid="{00000000-0005-0000-0000-000049100000}"/>
    <cellStyle name="Normal 2 4 5 2 2 2 6 2" xfId="6763" xr:uid="{00000000-0005-0000-0000-00004A100000}"/>
    <cellStyle name="Normal 2 4 5 2 2 2 6 2 2" xfId="16045" xr:uid="{6E825EEF-7EBD-4A02-918E-9A41FF14AE56}"/>
    <cellStyle name="Normal 2 4 5 2 2 2 6 3" xfId="11828" xr:uid="{CFFD8FDD-6349-45F6-9371-915EA9C7447F}"/>
    <cellStyle name="Normal 2 4 5 2 2 2 7" xfId="4697" xr:uid="{00000000-0005-0000-0000-00004B100000}"/>
    <cellStyle name="Normal 2 4 5 2 2 2 7 2" xfId="13979" xr:uid="{774FA009-F7DD-441A-9891-EB4D7DCC8E12}"/>
    <cellStyle name="Normal 2 4 5 2 2 2 8" xfId="9762" xr:uid="{F1516065-D2FC-4850-9236-ED063049FF02}"/>
    <cellStyle name="Normal 2 4 5 2 2 2 9" xfId="8929" xr:uid="{860FCE94-6D97-47BF-BC65-B538E9DD3E9F}"/>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37" xr:uid="{115AE5E8-1CBB-4612-9FA9-397623F0F6EE}"/>
    <cellStyle name="Normal 2 4 5 2 2 3 2 3" xfId="12320" xr:uid="{49B54369-BE23-4B30-80DF-F5B3FE8430E7}"/>
    <cellStyle name="Normal 2 4 5 2 2 3 3" xfId="5110" xr:uid="{00000000-0005-0000-0000-00004F100000}"/>
    <cellStyle name="Normal 2 4 5 2 2 3 3 2" xfId="14392" xr:uid="{F8F3D7D6-07E5-48C6-AA0B-881E32CD3972}"/>
    <cellStyle name="Normal 2 4 5 2 2 3 4" xfId="10175" xr:uid="{8A542A92-862B-4B56-A0A5-B31EA0787303}"/>
    <cellStyle name="Normal 2 4 5 2 2 3 5" xfId="9347" xr:uid="{D34DD857-D9C6-40BF-A190-FA46C2E801B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50" xr:uid="{2F961FDD-50AC-4EE6-9A0D-B77AD921BE9B}"/>
    <cellStyle name="Normal 2 4 5 2 2 4 2 3" xfId="12733" xr:uid="{E4733CD5-DFD2-4FAC-AC31-F0F0AB82E6D0}"/>
    <cellStyle name="Normal 2 4 5 2 2 4 3" xfId="5523" xr:uid="{00000000-0005-0000-0000-000053100000}"/>
    <cellStyle name="Normal 2 4 5 2 2 4 3 2" xfId="14805" xr:uid="{7EAAF32F-5A32-45CC-8344-B5B83365A604}"/>
    <cellStyle name="Normal 2 4 5 2 2 4 4" xfId="10588" xr:uid="{84332878-0468-43FC-8BA3-D2A0E0EBE69D}"/>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363" xr:uid="{0DD8AB06-63CD-453A-8451-0059F01FCD12}"/>
    <cellStyle name="Normal 2 4 5 2 2 5 2 3" xfId="13146" xr:uid="{7673180B-9C87-4C22-8C25-47E3BD4DA831}"/>
    <cellStyle name="Normal 2 4 5 2 2 5 3" xfId="5936" xr:uid="{00000000-0005-0000-0000-000057100000}"/>
    <cellStyle name="Normal 2 4 5 2 2 5 3 2" xfId="15218" xr:uid="{26A7D025-DC12-43F3-B336-6B5FC6CED8E5}"/>
    <cellStyle name="Normal 2 4 5 2 2 5 4" xfId="11001" xr:uid="{CF118FB1-2704-4F6A-B2D9-AF27D8655AA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776" xr:uid="{EDD966FF-2733-4F4F-A0B5-34B2C4253294}"/>
    <cellStyle name="Normal 2 4 5 2 2 6 2 3" xfId="13559" xr:uid="{CD3C120C-6D7D-4586-A52E-36D797CF2F8A}"/>
    <cellStyle name="Normal 2 4 5 2 2 6 3" xfId="6349" xr:uid="{00000000-0005-0000-0000-00005B100000}"/>
    <cellStyle name="Normal 2 4 5 2 2 6 3 2" xfId="15631" xr:uid="{8B86F436-C45E-4CAB-B808-63E7ED5F20F0}"/>
    <cellStyle name="Normal 2 4 5 2 2 6 4" xfId="11414" xr:uid="{659D6104-3868-4359-932E-66935C6A4205}"/>
    <cellStyle name="Normal 2 4 5 2 2 7" xfId="2479" xr:uid="{00000000-0005-0000-0000-00005C100000}"/>
    <cellStyle name="Normal 2 4 5 2 2 7 2" xfId="6762" xr:uid="{00000000-0005-0000-0000-00005D100000}"/>
    <cellStyle name="Normal 2 4 5 2 2 7 2 2" xfId="16044" xr:uid="{F2DF2581-97B2-4750-BB60-FC3DD8FFF542}"/>
    <cellStyle name="Normal 2 4 5 2 2 7 3" xfId="11827" xr:uid="{1C648E47-9AC5-4007-BDC7-E48E777EC6B4}"/>
    <cellStyle name="Normal 2 4 5 2 2 8" xfId="4696" xr:uid="{00000000-0005-0000-0000-00005E100000}"/>
    <cellStyle name="Normal 2 4 5 2 2 8 2" xfId="13978" xr:uid="{BED5E25B-3F69-42E6-9D87-BD892109A0B1}"/>
    <cellStyle name="Normal 2 4 5 2 2 9" xfId="9761" xr:uid="{DE2CC6C4-CC2E-4C11-98D3-DCD890D37E6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39" xr:uid="{93D7AAA9-BF7C-4433-94CB-612E0C3A1DEF}"/>
    <cellStyle name="Normal 2 4 5 2 3 2 2 3" xfId="12322" xr:uid="{8D613C9C-0873-4451-BAE2-6B8109689C2F}"/>
    <cellStyle name="Normal 2 4 5 2 3 2 3" xfId="5112" xr:uid="{00000000-0005-0000-0000-000063100000}"/>
    <cellStyle name="Normal 2 4 5 2 3 2 3 2" xfId="14394" xr:uid="{9E8A7708-6DBC-4A61-8C94-A9E724EBF0D8}"/>
    <cellStyle name="Normal 2 4 5 2 3 2 4" xfId="10177" xr:uid="{EB3AF9E3-FBAE-4F51-A36D-F8E8ED10EB78}"/>
    <cellStyle name="Normal 2 4 5 2 3 2 5" xfId="9349" xr:uid="{FAA4B11E-1955-4FE1-8FC3-2BC666E4F89D}"/>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52" xr:uid="{A1A721DD-6DB5-4387-9219-AFE5C6FDA010}"/>
    <cellStyle name="Normal 2 4 5 2 3 3 2 3" xfId="12735" xr:uid="{2767F84A-E23F-49B2-B3A1-1D634BEA519F}"/>
    <cellStyle name="Normal 2 4 5 2 3 3 3" xfId="5525" xr:uid="{00000000-0005-0000-0000-000067100000}"/>
    <cellStyle name="Normal 2 4 5 2 3 3 3 2" xfId="14807" xr:uid="{AD2968B1-6D09-4CB5-80FC-67B6626054C7}"/>
    <cellStyle name="Normal 2 4 5 2 3 3 4" xfId="10590" xr:uid="{11C7719A-7D77-41E1-9CDC-62D29DB825BA}"/>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365" xr:uid="{00DD0C3F-0A75-43AF-ABB5-9FDF45253EE3}"/>
    <cellStyle name="Normal 2 4 5 2 3 4 2 3" xfId="13148" xr:uid="{22F25E92-391B-4DDF-80CF-D02A2E35D8E8}"/>
    <cellStyle name="Normal 2 4 5 2 3 4 3" xfId="5938" xr:uid="{00000000-0005-0000-0000-00006B100000}"/>
    <cellStyle name="Normal 2 4 5 2 3 4 3 2" xfId="15220" xr:uid="{31C11E5E-04D4-40F2-B35E-30B302FF186B}"/>
    <cellStyle name="Normal 2 4 5 2 3 4 4" xfId="11003" xr:uid="{87CB7457-3C25-4939-941E-EE192579208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778" xr:uid="{5299320A-52D6-4BCE-A034-7F95BEA72AB2}"/>
    <cellStyle name="Normal 2 4 5 2 3 5 2 3" xfId="13561" xr:uid="{7902FC4F-5C6A-4BB2-9A66-435EF0D07036}"/>
    <cellStyle name="Normal 2 4 5 2 3 5 3" xfId="6351" xr:uid="{00000000-0005-0000-0000-00006F100000}"/>
    <cellStyle name="Normal 2 4 5 2 3 5 3 2" xfId="15633" xr:uid="{54E87A7B-5B3C-459C-B4C7-F48F6CB915C8}"/>
    <cellStyle name="Normal 2 4 5 2 3 5 4" xfId="11416" xr:uid="{6FEF0CB5-108B-4FB7-89F3-EE0C6757EFED}"/>
    <cellStyle name="Normal 2 4 5 2 3 6" xfId="2481" xr:uid="{00000000-0005-0000-0000-000070100000}"/>
    <cellStyle name="Normal 2 4 5 2 3 6 2" xfId="6764" xr:uid="{00000000-0005-0000-0000-000071100000}"/>
    <cellStyle name="Normal 2 4 5 2 3 6 2 2" xfId="16046" xr:uid="{B8E03979-C22D-4632-B8FD-E394B3427FE0}"/>
    <cellStyle name="Normal 2 4 5 2 3 6 3" xfId="11829" xr:uid="{73381E13-73B9-4B20-82D7-39A197146E00}"/>
    <cellStyle name="Normal 2 4 5 2 3 7" xfId="4698" xr:uid="{00000000-0005-0000-0000-000072100000}"/>
    <cellStyle name="Normal 2 4 5 2 3 7 2" xfId="13980" xr:uid="{E8B6FA01-8C13-4841-9C1F-30D40656B9F3}"/>
    <cellStyle name="Normal 2 4 5 2 3 8" xfId="9763" xr:uid="{5C11E24F-26E4-421B-B40B-F82739E2E23B}"/>
    <cellStyle name="Normal 2 4 5 2 3 9" xfId="8930" xr:uid="{5D321FB1-2A74-47FE-BFA0-84FEFAAC88D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36" xr:uid="{AC5E6E97-1EE7-4657-A1B3-452521630539}"/>
    <cellStyle name="Normal 2 4 5 2 4 2 3" xfId="12319" xr:uid="{40209965-4047-4C54-84EE-47A06D301CF5}"/>
    <cellStyle name="Normal 2 4 5 2 4 3" xfId="5109" xr:uid="{00000000-0005-0000-0000-000076100000}"/>
    <cellStyle name="Normal 2 4 5 2 4 3 2" xfId="14391" xr:uid="{266EE909-E5D4-4B33-961E-26ACF302D361}"/>
    <cellStyle name="Normal 2 4 5 2 4 4" xfId="10174" xr:uid="{E9D9EB85-AC89-4766-A8C1-0A7052369808}"/>
    <cellStyle name="Normal 2 4 5 2 4 5" xfId="9346" xr:uid="{2D11F8DB-6E29-4876-BE35-319A973598E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49" xr:uid="{6411C3EA-D824-4FA1-83E3-E1472ADF77BB}"/>
    <cellStyle name="Normal 2 4 5 2 5 2 3" xfId="12732" xr:uid="{514A5D3E-AE22-47D2-8CB5-D51295FAA312}"/>
    <cellStyle name="Normal 2 4 5 2 5 3" xfId="5522" xr:uid="{00000000-0005-0000-0000-00007A100000}"/>
    <cellStyle name="Normal 2 4 5 2 5 3 2" xfId="14804" xr:uid="{6C4E0C73-01A1-4B57-ADE7-59456A637B57}"/>
    <cellStyle name="Normal 2 4 5 2 5 4" xfId="10587" xr:uid="{CDF481FA-4F01-4DB1-A5BF-5DB35CF9CD0C}"/>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362" xr:uid="{AEC20B89-CB92-4443-B107-6B5F1C7FC6F1}"/>
    <cellStyle name="Normal 2 4 5 2 6 2 3" xfId="13145" xr:uid="{DF2FF41F-81D7-4FE0-8E7B-5709632626E5}"/>
    <cellStyle name="Normal 2 4 5 2 6 3" xfId="5935" xr:uid="{00000000-0005-0000-0000-00007E100000}"/>
    <cellStyle name="Normal 2 4 5 2 6 3 2" xfId="15217" xr:uid="{3B837AAB-C808-4FAD-97DA-5044BABE8F57}"/>
    <cellStyle name="Normal 2 4 5 2 6 4" xfId="11000" xr:uid="{2D2A3B30-5427-436D-BF72-08C1F8907E76}"/>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775" xr:uid="{07763DAA-3720-455F-B012-9D78F43AF903}"/>
    <cellStyle name="Normal 2 4 5 2 7 2 3" xfId="13558" xr:uid="{FA0F4619-1DE9-4614-97EA-17C43C0C1669}"/>
    <cellStyle name="Normal 2 4 5 2 7 3" xfId="6348" xr:uid="{00000000-0005-0000-0000-000082100000}"/>
    <cellStyle name="Normal 2 4 5 2 7 3 2" xfId="15630" xr:uid="{035BE11E-24FA-473A-B410-BD81ABD1DAAD}"/>
    <cellStyle name="Normal 2 4 5 2 7 4" xfId="11413" xr:uid="{E84B1187-ECCB-4F0D-A96E-9FC5873CE329}"/>
    <cellStyle name="Normal 2 4 5 2 8" xfId="2478" xr:uid="{00000000-0005-0000-0000-000083100000}"/>
    <cellStyle name="Normal 2 4 5 2 8 2" xfId="6761" xr:uid="{00000000-0005-0000-0000-000084100000}"/>
    <cellStyle name="Normal 2 4 5 2 8 2 2" xfId="16043" xr:uid="{F847069B-8A6D-40D6-B829-D7DCF911E9A9}"/>
    <cellStyle name="Normal 2 4 5 2 8 3" xfId="11826" xr:uid="{95D09664-EDDD-44CF-B898-AD989EC15D88}"/>
    <cellStyle name="Normal 2 4 5 2 9" xfId="4695" xr:uid="{00000000-0005-0000-0000-000085100000}"/>
    <cellStyle name="Normal 2 4 5 2 9 2" xfId="13977" xr:uid="{2ADB7013-6C0A-4D3C-89C6-C7B3E0DE2431}"/>
    <cellStyle name="Normal 2 4 5 3" xfId="308" xr:uid="{00000000-0005-0000-0000-000086100000}"/>
    <cellStyle name="Normal 2 4 5 3 10" xfId="8931" xr:uid="{0A8A105B-389D-4361-93C6-DFEC0064D737}"/>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41" xr:uid="{D92A66E7-0FF2-43F5-A446-3698CE665CE6}"/>
    <cellStyle name="Normal 2 4 5 3 2 2 2 3" xfId="12324" xr:uid="{E01D0EF2-5321-4166-856B-B699EB4D8D58}"/>
    <cellStyle name="Normal 2 4 5 3 2 2 3" xfId="5114" xr:uid="{00000000-0005-0000-0000-00008B100000}"/>
    <cellStyle name="Normal 2 4 5 3 2 2 3 2" xfId="14396" xr:uid="{BCA6D1EB-6D8F-40E7-8ED8-86D90706CE6F}"/>
    <cellStyle name="Normal 2 4 5 3 2 2 4" xfId="10179" xr:uid="{A559B308-147B-46B1-811B-58C900389F1A}"/>
    <cellStyle name="Normal 2 4 5 3 2 2 5" xfId="9351" xr:uid="{0956E204-391A-4805-A9D1-7A865E3452D7}"/>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54" xr:uid="{EE837E9A-3BF1-4C87-8A8B-A1B1FB606F44}"/>
    <cellStyle name="Normal 2 4 5 3 2 3 2 3" xfId="12737" xr:uid="{621CF891-43A5-43A5-A885-52322140930E}"/>
    <cellStyle name="Normal 2 4 5 3 2 3 3" xfId="5527" xr:uid="{00000000-0005-0000-0000-00008F100000}"/>
    <cellStyle name="Normal 2 4 5 3 2 3 3 2" xfId="14809" xr:uid="{AF225F41-7003-4756-8B92-27866DF1378C}"/>
    <cellStyle name="Normal 2 4 5 3 2 3 4" xfId="10592" xr:uid="{F9AA77BD-D43A-4CB7-B4A1-15A4421B5A1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367" xr:uid="{F21CFB07-1E68-4E5B-9512-189ECA447802}"/>
    <cellStyle name="Normal 2 4 5 3 2 4 2 3" xfId="13150" xr:uid="{B8E77DD3-8A1A-44B0-B64A-41CDB4A3530D}"/>
    <cellStyle name="Normal 2 4 5 3 2 4 3" xfId="5940" xr:uid="{00000000-0005-0000-0000-000093100000}"/>
    <cellStyle name="Normal 2 4 5 3 2 4 3 2" xfId="15222" xr:uid="{F7E13760-3013-4C9C-BA9D-817FAE7D926C}"/>
    <cellStyle name="Normal 2 4 5 3 2 4 4" xfId="11005" xr:uid="{B5D3C6A5-995E-4577-8553-416B215B9DD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780" xr:uid="{DAACA854-4906-4FE9-AEFE-59CBAEADBD94}"/>
    <cellStyle name="Normal 2 4 5 3 2 5 2 3" xfId="13563" xr:uid="{1FCC1857-AFAD-48F5-B5C8-D14527ED33DB}"/>
    <cellStyle name="Normal 2 4 5 3 2 5 3" xfId="6353" xr:uid="{00000000-0005-0000-0000-000097100000}"/>
    <cellStyle name="Normal 2 4 5 3 2 5 3 2" xfId="15635" xr:uid="{4BC53021-E58B-40C7-99AB-D035545CFB75}"/>
    <cellStyle name="Normal 2 4 5 3 2 5 4" xfId="11418" xr:uid="{5BD60B9B-7DBD-4234-A37D-4041F553CD7D}"/>
    <cellStyle name="Normal 2 4 5 3 2 6" xfId="2483" xr:uid="{00000000-0005-0000-0000-000098100000}"/>
    <cellStyle name="Normal 2 4 5 3 2 6 2" xfId="6766" xr:uid="{00000000-0005-0000-0000-000099100000}"/>
    <cellStyle name="Normal 2 4 5 3 2 6 2 2" xfId="16048" xr:uid="{2BDE3FB2-67D0-4D47-AAFD-B2D686A10487}"/>
    <cellStyle name="Normal 2 4 5 3 2 6 3" xfId="11831" xr:uid="{CF5CD284-10BD-42AC-955E-CF3C50208241}"/>
    <cellStyle name="Normal 2 4 5 3 2 7" xfId="4700" xr:uid="{00000000-0005-0000-0000-00009A100000}"/>
    <cellStyle name="Normal 2 4 5 3 2 7 2" xfId="13982" xr:uid="{BCF8C565-9341-4D38-9321-2AD123706FAC}"/>
    <cellStyle name="Normal 2 4 5 3 2 8" xfId="9765" xr:uid="{F083136B-6FDA-4322-AB7D-5182435C3B51}"/>
    <cellStyle name="Normal 2 4 5 3 2 9" xfId="8932" xr:uid="{140F145A-13B6-414D-AFCE-01B8176464C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40" xr:uid="{1A4807D2-7A3E-499C-9D54-6E24B9EA9D8A}"/>
    <cellStyle name="Normal 2 4 5 3 3 2 3" xfId="12323" xr:uid="{FD6DD84A-F8EE-44A5-BABE-31F4F9288BAA}"/>
    <cellStyle name="Normal 2 4 5 3 3 3" xfId="5113" xr:uid="{00000000-0005-0000-0000-00009E100000}"/>
    <cellStyle name="Normal 2 4 5 3 3 3 2" xfId="14395" xr:uid="{9B5E7847-E618-42F2-A51A-05C7E44E4182}"/>
    <cellStyle name="Normal 2 4 5 3 3 4" xfId="10178" xr:uid="{AAD83516-46A4-4C88-B767-B9BBD439901F}"/>
    <cellStyle name="Normal 2 4 5 3 3 5" xfId="9350" xr:uid="{70CF461F-0934-4E9D-8A3D-2A7DA6D64ACB}"/>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53" xr:uid="{C037F85C-49AC-4E75-98B8-18A97241831F}"/>
    <cellStyle name="Normal 2 4 5 3 4 2 3" xfId="12736" xr:uid="{198F0B75-210B-4A22-81A8-1B41BFDD106F}"/>
    <cellStyle name="Normal 2 4 5 3 4 3" xfId="5526" xr:uid="{00000000-0005-0000-0000-0000A2100000}"/>
    <cellStyle name="Normal 2 4 5 3 4 3 2" xfId="14808" xr:uid="{3C74C4B9-0F7B-422A-8BE9-21F59CC93CA6}"/>
    <cellStyle name="Normal 2 4 5 3 4 4" xfId="10591" xr:uid="{96A7A08B-D3C4-46AC-BF82-5B5DA5891DA9}"/>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366" xr:uid="{9C87B525-24F4-45B9-B263-D0C6A536277F}"/>
    <cellStyle name="Normal 2 4 5 3 5 2 3" xfId="13149" xr:uid="{417AE400-418B-4405-A577-22DB786AF006}"/>
    <cellStyle name="Normal 2 4 5 3 5 3" xfId="5939" xr:uid="{00000000-0005-0000-0000-0000A6100000}"/>
    <cellStyle name="Normal 2 4 5 3 5 3 2" xfId="15221" xr:uid="{AE9FAC92-4D6B-4F40-A50B-5052077B4789}"/>
    <cellStyle name="Normal 2 4 5 3 5 4" xfId="11004" xr:uid="{1E91953A-72F5-4136-81EF-851730872F3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779" xr:uid="{3CEBE8AA-F03E-4DD2-A898-CD15A2D85A7E}"/>
    <cellStyle name="Normal 2 4 5 3 6 2 3" xfId="13562" xr:uid="{0601C5C5-0D7F-4ED5-84BB-9B8608EE3E41}"/>
    <cellStyle name="Normal 2 4 5 3 6 3" xfId="6352" xr:uid="{00000000-0005-0000-0000-0000AA100000}"/>
    <cellStyle name="Normal 2 4 5 3 6 3 2" xfId="15634" xr:uid="{E37AC934-DF75-4F76-95DF-7C947649A14E}"/>
    <cellStyle name="Normal 2 4 5 3 6 4" xfId="11417" xr:uid="{43EE7DF3-DC10-450B-8F73-72B4B43EF44D}"/>
    <cellStyle name="Normal 2 4 5 3 7" xfId="2482" xr:uid="{00000000-0005-0000-0000-0000AB100000}"/>
    <cellStyle name="Normal 2 4 5 3 7 2" xfId="6765" xr:uid="{00000000-0005-0000-0000-0000AC100000}"/>
    <cellStyle name="Normal 2 4 5 3 7 2 2" xfId="16047" xr:uid="{8051D22C-950D-4F2F-B2B7-81319CAA22F4}"/>
    <cellStyle name="Normal 2 4 5 3 7 3" xfId="11830" xr:uid="{EAC7A0FC-AF0C-46E1-883A-390954D62F72}"/>
    <cellStyle name="Normal 2 4 5 3 8" xfId="4699" xr:uid="{00000000-0005-0000-0000-0000AD100000}"/>
    <cellStyle name="Normal 2 4 5 3 8 2" xfId="13981" xr:uid="{78B41067-4A49-492E-BC72-993A6F64C8CA}"/>
    <cellStyle name="Normal 2 4 5 3 9" xfId="9764" xr:uid="{F90725C8-D4C3-4F12-8E68-1C768326516C}"/>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42" xr:uid="{3F942727-6312-428D-9411-5E909D50B57D}"/>
    <cellStyle name="Normal 2 4 5 4 2 2 3" xfId="12325" xr:uid="{4B8E7DEC-55B5-458B-915B-3C767AA39438}"/>
    <cellStyle name="Normal 2 4 5 4 2 3" xfId="5115" xr:uid="{00000000-0005-0000-0000-0000B2100000}"/>
    <cellStyle name="Normal 2 4 5 4 2 3 2" xfId="14397" xr:uid="{B607C850-9CF7-4FAE-8593-DD0EB9A1453A}"/>
    <cellStyle name="Normal 2 4 5 4 2 4" xfId="10180" xr:uid="{843B8C2D-765A-45CD-82AE-DFDE4F06A214}"/>
    <cellStyle name="Normal 2 4 5 4 2 5" xfId="9352" xr:uid="{24F07F08-8C0C-439F-BD48-664471976F4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55" xr:uid="{2C15E536-EB08-4B36-9EDA-9C04210C801D}"/>
    <cellStyle name="Normal 2 4 5 4 3 2 3" xfId="12738" xr:uid="{A1E9CA8F-6FA0-42BB-AED2-AA0E4D86B1CC}"/>
    <cellStyle name="Normal 2 4 5 4 3 3" xfId="5528" xr:uid="{00000000-0005-0000-0000-0000B6100000}"/>
    <cellStyle name="Normal 2 4 5 4 3 3 2" xfId="14810" xr:uid="{C0470765-A232-48C0-9ADD-A617EB7966F6}"/>
    <cellStyle name="Normal 2 4 5 4 3 4" xfId="10593" xr:uid="{3E7C988D-262C-4DA1-ABB4-B0817BCDB3A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368" xr:uid="{81567565-545B-467F-942F-1DE9FA21C1B8}"/>
    <cellStyle name="Normal 2 4 5 4 4 2 3" xfId="13151" xr:uid="{0557C6BA-36F0-40E6-91AF-88BB0E4E8FE0}"/>
    <cellStyle name="Normal 2 4 5 4 4 3" xfId="5941" xr:uid="{00000000-0005-0000-0000-0000BA100000}"/>
    <cellStyle name="Normal 2 4 5 4 4 3 2" xfId="15223" xr:uid="{9751BBD4-1D5F-4EEC-98FA-C5B9C9C3DAF9}"/>
    <cellStyle name="Normal 2 4 5 4 4 4" xfId="11006" xr:uid="{708C2DF6-C15F-453E-8CE9-1F70A9262F96}"/>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781" xr:uid="{9A14591D-DB43-443B-B6E4-4DFED5B7EAD4}"/>
    <cellStyle name="Normal 2 4 5 4 5 2 3" xfId="13564" xr:uid="{4474C7D1-41B7-4BCE-9B76-288770230A14}"/>
    <cellStyle name="Normal 2 4 5 4 5 3" xfId="6354" xr:uid="{00000000-0005-0000-0000-0000BE100000}"/>
    <cellStyle name="Normal 2 4 5 4 5 3 2" xfId="15636" xr:uid="{855A8472-93E4-480F-BDC1-4B5520399542}"/>
    <cellStyle name="Normal 2 4 5 4 5 4" xfId="11419" xr:uid="{A0042B65-D461-4DEB-AD4E-293FA8DF385E}"/>
    <cellStyle name="Normal 2 4 5 4 6" xfId="2484" xr:uid="{00000000-0005-0000-0000-0000BF100000}"/>
    <cellStyle name="Normal 2 4 5 4 6 2" xfId="6767" xr:uid="{00000000-0005-0000-0000-0000C0100000}"/>
    <cellStyle name="Normal 2 4 5 4 6 2 2" xfId="16049" xr:uid="{41524F0B-8329-483C-AB09-4F62878F4A0C}"/>
    <cellStyle name="Normal 2 4 5 4 6 3" xfId="11832" xr:uid="{6AFBBAFC-8732-476A-9A1E-D9B2494CEB57}"/>
    <cellStyle name="Normal 2 4 5 4 7" xfId="4701" xr:uid="{00000000-0005-0000-0000-0000C1100000}"/>
    <cellStyle name="Normal 2 4 5 4 7 2" xfId="13983" xr:uid="{91B3B404-B621-4B70-8C60-6D2183C4D7DF}"/>
    <cellStyle name="Normal 2 4 5 4 8" xfId="9766" xr:uid="{103D7693-0575-4B80-8E6E-98847A931B7F}"/>
    <cellStyle name="Normal 2 4 5 4 9" xfId="8933" xr:uid="{EDE8A682-A53D-4742-BF6E-ACF55E5D0920}"/>
    <cellStyle name="Normal 2 4 5 5" xfId="792" xr:uid="{00000000-0005-0000-0000-0000C2100000}"/>
    <cellStyle name="Normal 2 4 5 5 2" xfId="3031" xr:uid="{00000000-0005-0000-0000-0000C3100000}"/>
    <cellStyle name="Normal 2 4 5 5 2 2" xfId="7253" xr:uid="{00000000-0005-0000-0000-0000C4100000}"/>
    <cellStyle name="Normal 2 4 5 5 2 2 2" xfId="16535" xr:uid="{F207E39C-EE15-457C-8A9F-1EF07040097B}"/>
    <cellStyle name="Normal 2 4 5 5 2 3" xfId="12318" xr:uid="{C8510E25-200C-4D0E-A7AF-93A95F638716}"/>
    <cellStyle name="Normal 2 4 5 5 3" xfId="5108" xr:uid="{00000000-0005-0000-0000-0000C5100000}"/>
    <cellStyle name="Normal 2 4 5 5 3 2" xfId="14390" xr:uid="{AD94E1B6-7E85-41E9-8D7E-039B9F7B32D9}"/>
    <cellStyle name="Normal 2 4 5 5 4" xfId="10173" xr:uid="{857D0660-9660-4C0C-8FDF-D9F43E90603B}"/>
    <cellStyle name="Normal 2 4 5 5 5" xfId="9345" xr:uid="{BF79D75D-561F-4F51-96A4-7921E67DE566}"/>
    <cellStyle name="Normal 2 4 5 6" xfId="1214" xr:uid="{00000000-0005-0000-0000-0000C6100000}"/>
    <cellStyle name="Normal 2 4 5 6 2" xfId="3444" xr:uid="{00000000-0005-0000-0000-0000C7100000}"/>
    <cellStyle name="Normal 2 4 5 6 2 2" xfId="7666" xr:uid="{00000000-0005-0000-0000-0000C8100000}"/>
    <cellStyle name="Normal 2 4 5 6 2 2 2" xfId="16948" xr:uid="{3310609F-2181-47E0-8333-61D5A17A8228}"/>
    <cellStyle name="Normal 2 4 5 6 2 3" xfId="12731" xr:uid="{57C4C769-F0AF-425C-83BB-BB3BA2543735}"/>
    <cellStyle name="Normal 2 4 5 6 3" xfId="5521" xr:uid="{00000000-0005-0000-0000-0000C9100000}"/>
    <cellStyle name="Normal 2 4 5 6 3 2" xfId="14803" xr:uid="{58971234-AAB3-4FDD-B1E2-7A78264AB181}"/>
    <cellStyle name="Normal 2 4 5 6 4" xfId="10586" xr:uid="{BA9B1270-2FC8-48EA-8934-867CA10224B1}"/>
    <cellStyle name="Normal 2 4 5 7" xfId="1627" xr:uid="{00000000-0005-0000-0000-0000CA100000}"/>
    <cellStyle name="Normal 2 4 5 7 2" xfId="3857" xr:uid="{00000000-0005-0000-0000-0000CB100000}"/>
    <cellStyle name="Normal 2 4 5 7 2 2" xfId="8079" xr:uid="{00000000-0005-0000-0000-0000CC100000}"/>
    <cellStyle name="Normal 2 4 5 7 2 2 2" xfId="17361" xr:uid="{C148D81E-9B23-43F4-A681-11F72C762E8E}"/>
    <cellStyle name="Normal 2 4 5 7 2 3" xfId="13144" xr:uid="{D9C14DA7-5300-46F3-BB6D-E3C1259E9114}"/>
    <cellStyle name="Normal 2 4 5 7 3" xfId="5934" xr:uid="{00000000-0005-0000-0000-0000CD100000}"/>
    <cellStyle name="Normal 2 4 5 7 3 2" xfId="15216" xr:uid="{447C77EC-D64C-4988-8873-BE074762ADF9}"/>
    <cellStyle name="Normal 2 4 5 7 4" xfId="10999" xr:uid="{A0C51284-436A-49E4-904D-8D78ED86EBF5}"/>
    <cellStyle name="Normal 2 4 5 8" xfId="2041" xr:uid="{00000000-0005-0000-0000-0000CE100000}"/>
    <cellStyle name="Normal 2 4 5 8 2" xfId="4270" xr:uid="{00000000-0005-0000-0000-0000CF100000}"/>
    <cellStyle name="Normal 2 4 5 8 2 2" xfId="8492" xr:uid="{00000000-0005-0000-0000-0000D0100000}"/>
    <cellStyle name="Normal 2 4 5 8 2 2 2" xfId="17774" xr:uid="{F31E8046-72F7-46E2-B80D-41DE930FB96A}"/>
    <cellStyle name="Normal 2 4 5 8 2 3" xfId="13557" xr:uid="{67D1711E-800E-49CD-BBB7-8E7D5E34174D}"/>
    <cellStyle name="Normal 2 4 5 8 3" xfId="6347" xr:uid="{00000000-0005-0000-0000-0000D1100000}"/>
    <cellStyle name="Normal 2 4 5 8 3 2" xfId="15629" xr:uid="{DDE689C3-31DF-492B-B4ED-E1F02E8E58F2}"/>
    <cellStyle name="Normal 2 4 5 8 4" xfId="11412" xr:uid="{1F7ABC50-979B-42C4-8DE6-7F6AFF26C427}"/>
    <cellStyle name="Normal 2 4 5 9" xfId="2477" xr:uid="{00000000-0005-0000-0000-0000D2100000}"/>
    <cellStyle name="Normal 2 4 5 9 2" xfId="6760" xr:uid="{00000000-0005-0000-0000-0000D3100000}"/>
    <cellStyle name="Normal 2 4 5 9 2 2" xfId="16042" xr:uid="{23F415D2-9A2F-45BE-8E2E-725595FCAE26}"/>
    <cellStyle name="Normal 2 4 5 9 3" xfId="11825" xr:uid="{F9B84AD9-F914-4AF2-8BAE-4057EA9D49AB}"/>
    <cellStyle name="Normal 2 4 6" xfId="311" xr:uid="{00000000-0005-0000-0000-0000D4100000}"/>
    <cellStyle name="Normal 2 4 7" xfId="312" xr:uid="{00000000-0005-0000-0000-0000D5100000}"/>
    <cellStyle name="Normal 2 4 7 10" xfId="8934" xr:uid="{0D89F497-A283-44F6-9516-78467C652904}"/>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44" xr:uid="{A39E5364-96D9-4BEE-8FEA-30CF45085FA5}"/>
    <cellStyle name="Normal 2 4 7 2 2 2 3" xfId="12327" xr:uid="{FAFE9EDC-DB1A-47D5-B153-7D6388766748}"/>
    <cellStyle name="Normal 2 4 7 2 2 3" xfId="5117" xr:uid="{00000000-0005-0000-0000-0000DA100000}"/>
    <cellStyle name="Normal 2 4 7 2 2 3 2" xfId="14399" xr:uid="{A97EF3EF-A640-4060-949B-132B6974B83D}"/>
    <cellStyle name="Normal 2 4 7 2 2 4" xfId="10182" xr:uid="{72F3BE05-235B-410D-9A04-7D9E9D928BC6}"/>
    <cellStyle name="Normal 2 4 7 2 2 5" xfId="9354" xr:uid="{5C1279DC-6508-4A92-8642-BCB8B5D19EC5}"/>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957" xr:uid="{40B33AAE-F650-4FCA-936D-9241107AC4FC}"/>
    <cellStyle name="Normal 2 4 7 2 3 2 3" xfId="12740" xr:uid="{527CBC7F-EABE-4944-A21D-5B9506D7170E}"/>
    <cellStyle name="Normal 2 4 7 2 3 3" xfId="5530" xr:uid="{00000000-0005-0000-0000-0000DE100000}"/>
    <cellStyle name="Normal 2 4 7 2 3 3 2" xfId="14812" xr:uid="{E41D2345-9A9D-43BA-9703-8AA0BA39CF8B}"/>
    <cellStyle name="Normal 2 4 7 2 3 4" xfId="10595" xr:uid="{E60E314A-C792-4E18-A09A-C5251E61181B}"/>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370" xr:uid="{C5A76749-6FB1-4342-B860-836AF9D5B8A2}"/>
    <cellStyle name="Normal 2 4 7 2 4 2 3" xfId="13153" xr:uid="{B3E4FDAB-6E7E-432A-AFAF-40E94801FB01}"/>
    <cellStyle name="Normal 2 4 7 2 4 3" xfId="5943" xr:uid="{00000000-0005-0000-0000-0000E2100000}"/>
    <cellStyle name="Normal 2 4 7 2 4 3 2" xfId="15225" xr:uid="{AF7BA823-C5CD-42E5-82CE-E4C476532E37}"/>
    <cellStyle name="Normal 2 4 7 2 4 4" xfId="11008" xr:uid="{1B3D079C-6279-406C-BB74-149D9DBFD1EB}"/>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783" xr:uid="{CBB02713-B0D8-4BB5-856D-AAC11DD9152D}"/>
    <cellStyle name="Normal 2 4 7 2 5 2 3" xfId="13566" xr:uid="{A6A75BF4-06CF-43A5-86D2-D9041A16E8E5}"/>
    <cellStyle name="Normal 2 4 7 2 5 3" xfId="6356" xr:uid="{00000000-0005-0000-0000-0000E6100000}"/>
    <cellStyle name="Normal 2 4 7 2 5 3 2" xfId="15638" xr:uid="{D7BEB56F-2866-4D03-9C37-0F8DD66C67F7}"/>
    <cellStyle name="Normal 2 4 7 2 5 4" xfId="11421" xr:uid="{16C65C6C-E223-43B3-9E27-B5505EF4EFFE}"/>
    <cellStyle name="Normal 2 4 7 2 6" xfId="2486" xr:uid="{00000000-0005-0000-0000-0000E7100000}"/>
    <cellStyle name="Normal 2 4 7 2 6 2" xfId="6769" xr:uid="{00000000-0005-0000-0000-0000E8100000}"/>
    <cellStyle name="Normal 2 4 7 2 6 2 2" xfId="16051" xr:uid="{B2E88910-2A0C-4E4B-B6DD-8CDE2D6BF029}"/>
    <cellStyle name="Normal 2 4 7 2 6 3" xfId="11834" xr:uid="{2F38FC2F-A5E6-4E63-82CB-08D84E71B0EE}"/>
    <cellStyle name="Normal 2 4 7 2 7" xfId="4703" xr:uid="{00000000-0005-0000-0000-0000E9100000}"/>
    <cellStyle name="Normal 2 4 7 2 7 2" xfId="13985" xr:uid="{728B6C6E-07E9-4E35-B4EB-D6891635BDBC}"/>
    <cellStyle name="Normal 2 4 7 2 8" xfId="9768" xr:uid="{2139A11A-4282-4C5C-9F06-81353B8D1EFC}"/>
    <cellStyle name="Normal 2 4 7 2 9" xfId="8935" xr:uid="{A8C4A43E-C4CE-4DB5-934C-7C49F28EF054}"/>
    <cellStyle name="Normal 2 4 7 3" xfId="800" xr:uid="{00000000-0005-0000-0000-0000EA100000}"/>
    <cellStyle name="Normal 2 4 7 3 2" xfId="3039" xr:uid="{00000000-0005-0000-0000-0000EB100000}"/>
    <cellStyle name="Normal 2 4 7 3 2 2" xfId="7261" xr:uid="{00000000-0005-0000-0000-0000EC100000}"/>
    <cellStyle name="Normal 2 4 7 3 2 2 2" xfId="16543" xr:uid="{45705DEC-F891-4275-9416-6CAED6B5752A}"/>
    <cellStyle name="Normal 2 4 7 3 2 3" xfId="12326" xr:uid="{51D6272A-A52C-4BA7-89AE-25B91B7B1488}"/>
    <cellStyle name="Normal 2 4 7 3 3" xfId="5116" xr:uid="{00000000-0005-0000-0000-0000ED100000}"/>
    <cellStyle name="Normal 2 4 7 3 3 2" xfId="14398" xr:uid="{6D796ECF-3240-459C-A688-287DBB766E2F}"/>
    <cellStyle name="Normal 2 4 7 3 4" xfId="10181" xr:uid="{177B629B-995D-4EBD-B29F-21A10FE8442B}"/>
    <cellStyle name="Normal 2 4 7 3 5" xfId="9353" xr:uid="{4BAFCDE2-ACC8-4B68-AA4C-BE865BF2BF3D}"/>
    <cellStyle name="Normal 2 4 7 4" xfId="1222" xr:uid="{00000000-0005-0000-0000-0000EE100000}"/>
    <cellStyle name="Normal 2 4 7 4 2" xfId="3452" xr:uid="{00000000-0005-0000-0000-0000EF100000}"/>
    <cellStyle name="Normal 2 4 7 4 2 2" xfId="7674" xr:uid="{00000000-0005-0000-0000-0000F0100000}"/>
    <cellStyle name="Normal 2 4 7 4 2 2 2" xfId="16956" xr:uid="{E22C0032-9DE2-422E-8A3E-9C0A3A022E70}"/>
    <cellStyle name="Normal 2 4 7 4 2 3" xfId="12739" xr:uid="{D178CA34-F828-46DE-8DCE-FFF0485832DA}"/>
    <cellStyle name="Normal 2 4 7 4 3" xfId="5529" xr:uid="{00000000-0005-0000-0000-0000F1100000}"/>
    <cellStyle name="Normal 2 4 7 4 3 2" xfId="14811" xr:uid="{638DF87F-669E-42C6-A0B7-26F16363A44F}"/>
    <cellStyle name="Normal 2 4 7 4 4" xfId="10594" xr:uid="{F31778C5-D575-4BB8-882A-2E6088FD4BBD}"/>
    <cellStyle name="Normal 2 4 7 5" xfId="1635" xr:uid="{00000000-0005-0000-0000-0000F2100000}"/>
    <cellStyle name="Normal 2 4 7 5 2" xfId="3865" xr:uid="{00000000-0005-0000-0000-0000F3100000}"/>
    <cellStyle name="Normal 2 4 7 5 2 2" xfId="8087" xr:uid="{00000000-0005-0000-0000-0000F4100000}"/>
    <cellStyle name="Normal 2 4 7 5 2 2 2" xfId="17369" xr:uid="{B6B734DD-DDDF-4D9E-B1BA-339EE80B0EB7}"/>
    <cellStyle name="Normal 2 4 7 5 2 3" xfId="13152" xr:uid="{CE14D4BE-0E6A-409C-82FA-38614AB81A03}"/>
    <cellStyle name="Normal 2 4 7 5 3" xfId="5942" xr:uid="{00000000-0005-0000-0000-0000F5100000}"/>
    <cellStyle name="Normal 2 4 7 5 3 2" xfId="15224" xr:uid="{E7115932-39CB-4E2E-A8C7-339D77118B5B}"/>
    <cellStyle name="Normal 2 4 7 5 4" xfId="11007" xr:uid="{359EBD11-DAE6-4B32-92C6-67338DA5DE38}"/>
    <cellStyle name="Normal 2 4 7 6" xfId="2049" xr:uid="{00000000-0005-0000-0000-0000F6100000}"/>
    <cellStyle name="Normal 2 4 7 6 2" xfId="4278" xr:uid="{00000000-0005-0000-0000-0000F7100000}"/>
    <cellStyle name="Normal 2 4 7 6 2 2" xfId="8500" xr:uid="{00000000-0005-0000-0000-0000F8100000}"/>
    <cellStyle name="Normal 2 4 7 6 2 2 2" xfId="17782" xr:uid="{2F44F9CA-558A-480E-82BD-756B11FEEB09}"/>
    <cellStyle name="Normal 2 4 7 6 2 3" xfId="13565" xr:uid="{A70D5FB2-A72B-4601-A924-5E031C64A6EF}"/>
    <cellStyle name="Normal 2 4 7 6 3" xfId="6355" xr:uid="{00000000-0005-0000-0000-0000F9100000}"/>
    <cellStyle name="Normal 2 4 7 6 3 2" xfId="15637" xr:uid="{7F6046E9-2316-4C44-8EB9-6C2B2ED5E17D}"/>
    <cellStyle name="Normal 2 4 7 6 4" xfId="11420" xr:uid="{1D5A1A34-5946-481B-AC58-65F1C9DB8529}"/>
    <cellStyle name="Normal 2 4 7 7" xfId="2485" xr:uid="{00000000-0005-0000-0000-0000FA100000}"/>
    <cellStyle name="Normal 2 4 7 7 2" xfId="6768" xr:uid="{00000000-0005-0000-0000-0000FB100000}"/>
    <cellStyle name="Normal 2 4 7 7 2 2" xfId="16050" xr:uid="{5AE4594E-1D33-46DC-82E0-E6B7B7423827}"/>
    <cellStyle name="Normal 2 4 7 7 3" xfId="11833" xr:uid="{DBAF07E2-ECBA-4C22-97A2-838169C63BA3}"/>
    <cellStyle name="Normal 2 4 7 8" xfId="4702" xr:uid="{00000000-0005-0000-0000-0000FC100000}"/>
    <cellStyle name="Normal 2 4 7 8 2" xfId="13984" xr:uid="{D06447AB-BA3C-4CBB-95A1-85D59FC31744}"/>
    <cellStyle name="Normal 2 4 7 9" xfId="9767" xr:uid="{56D0B42B-9F64-49F9-BC75-D6ACD7D0464B}"/>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45" xr:uid="{C128F439-2AA4-40F9-B4B8-E18A6545A3B9}"/>
    <cellStyle name="Normal 2 4 8 2 2 3" xfId="12328" xr:uid="{C62E7BF4-182F-4582-B3E9-9F9CA01AC84C}"/>
    <cellStyle name="Normal 2 4 8 2 3" xfId="5118" xr:uid="{00000000-0005-0000-0000-000001110000}"/>
    <cellStyle name="Normal 2 4 8 2 3 2" xfId="14400" xr:uid="{5F2AEA4C-349C-4FAD-968F-12FF4B6A5E0D}"/>
    <cellStyle name="Normal 2 4 8 2 4" xfId="10183" xr:uid="{1E68A092-6053-4AC6-86B1-8C5E318DF34C}"/>
    <cellStyle name="Normal 2 4 8 2 5" xfId="9355" xr:uid="{B9617857-20F3-4E36-92DB-DA55E026AAFA}"/>
    <cellStyle name="Normal 2 4 8 3" xfId="1224" xr:uid="{00000000-0005-0000-0000-000002110000}"/>
    <cellStyle name="Normal 2 4 8 3 2" xfId="3454" xr:uid="{00000000-0005-0000-0000-000003110000}"/>
    <cellStyle name="Normal 2 4 8 3 2 2" xfId="7676" xr:uid="{00000000-0005-0000-0000-000004110000}"/>
    <cellStyle name="Normal 2 4 8 3 2 2 2" xfId="16958" xr:uid="{E0796399-055A-4E7A-A853-DC2C0387323E}"/>
    <cellStyle name="Normal 2 4 8 3 2 3" xfId="12741" xr:uid="{8234BDF8-89AB-4DA9-BA26-8EC4B9EC539D}"/>
    <cellStyle name="Normal 2 4 8 3 3" xfId="5531" xr:uid="{00000000-0005-0000-0000-000005110000}"/>
    <cellStyle name="Normal 2 4 8 3 3 2" xfId="14813" xr:uid="{861C7B0F-85F9-49AD-B6BD-E44B6F726941}"/>
    <cellStyle name="Normal 2 4 8 3 4" xfId="10596" xr:uid="{02270267-5297-492F-9AA1-485151370031}"/>
    <cellStyle name="Normal 2 4 8 4" xfId="1637" xr:uid="{00000000-0005-0000-0000-000006110000}"/>
    <cellStyle name="Normal 2 4 8 4 2" xfId="3867" xr:uid="{00000000-0005-0000-0000-000007110000}"/>
    <cellStyle name="Normal 2 4 8 4 2 2" xfId="8089" xr:uid="{00000000-0005-0000-0000-000008110000}"/>
    <cellStyle name="Normal 2 4 8 4 2 2 2" xfId="17371" xr:uid="{AD2194AA-C15F-49EA-A27D-7ADF91EFF181}"/>
    <cellStyle name="Normal 2 4 8 4 2 3" xfId="13154" xr:uid="{9DE5EEAB-F9E5-4A0C-B1EC-F8C3ED70C0A9}"/>
    <cellStyle name="Normal 2 4 8 4 3" xfId="5944" xr:uid="{00000000-0005-0000-0000-000009110000}"/>
    <cellStyle name="Normal 2 4 8 4 3 2" xfId="15226" xr:uid="{20D0F12B-8A1C-4ECF-9DF8-0446CD005738}"/>
    <cellStyle name="Normal 2 4 8 4 4" xfId="11009" xr:uid="{0C28DFFC-A270-4933-9EFA-57FE9B8774CA}"/>
    <cellStyle name="Normal 2 4 8 5" xfId="2051" xr:uid="{00000000-0005-0000-0000-00000A110000}"/>
    <cellStyle name="Normal 2 4 8 5 2" xfId="4280" xr:uid="{00000000-0005-0000-0000-00000B110000}"/>
    <cellStyle name="Normal 2 4 8 5 2 2" xfId="8502" xr:uid="{00000000-0005-0000-0000-00000C110000}"/>
    <cellStyle name="Normal 2 4 8 5 2 2 2" xfId="17784" xr:uid="{9C373D6F-87F4-4131-B821-E49FDA8536E4}"/>
    <cellStyle name="Normal 2 4 8 5 2 3" xfId="13567" xr:uid="{5ABDC102-4136-4C1D-9336-895E269F0B58}"/>
    <cellStyle name="Normal 2 4 8 5 3" xfId="6357" xr:uid="{00000000-0005-0000-0000-00000D110000}"/>
    <cellStyle name="Normal 2 4 8 5 3 2" xfId="15639" xr:uid="{9B6D08D4-7E5B-4F85-AA13-56357DB6E772}"/>
    <cellStyle name="Normal 2 4 8 5 4" xfId="11422" xr:uid="{78DFE069-CE0A-42C2-8680-05826E9A4C09}"/>
    <cellStyle name="Normal 2 4 8 6" xfId="2487" xr:uid="{00000000-0005-0000-0000-00000E110000}"/>
    <cellStyle name="Normal 2 4 8 6 2" xfId="6770" xr:uid="{00000000-0005-0000-0000-00000F110000}"/>
    <cellStyle name="Normal 2 4 8 6 2 2" xfId="16052" xr:uid="{5EA3B56D-3C3D-4207-8F4B-4E1EF9AFF94D}"/>
    <cellStyle name="Normal 2 4 8 6 3" xfId="11835" xr:uid="{DE51D855-B32D-4F1B-A4D0-4835331293B4}"/>
    <cellStyle name="Normal 2 4 8 7" xfId="4704" xr:uid="{00000000-0005-0000-0000-000010110000}"/>
    <cellStyle name="Normal 2 4 8 7 2" xfId="13986" xr:uid="{2AFA2E88-5004-4C72-8216-4AFC8D4FEB7E}"/>
    <cellStyle name="Normal 2 4 8 8" xfId="9769" xr:uid="{472947C9-49D6-4FC2-9473-C99C4A28CAB2}"/>
    <cellStyle name="Normal 2 4 8 9" xfId="8936" xr:uid="{812F4EB1-861F-4C95-A92C-D9DCF8CFFEEE}"/>
    <cellStyle name="Normal 2 5" xfId="315" xr:uid="{00000000-0005-0000-0000-000011110000}"/>
    <cellStyle name="Normal 2 5 10" xfId="4705" xr:uid="{00000000-0005-0000-0000-000012110000}"/>
    <cellStyle name="Normal 2 5 10 2" xfId="13987" xr:uid="{E5A2FBCB-E6DA-4D7C-8E6A-A98D0B4A8B4F}"/>
    <cellStyle name="Normal 2 5 11" xfId="9770" xr:uid="{EDFF3541-212B-4F00-B7CA-503193A425F1}"/>
    <cellStyle name="Normal 2 5 12" xfId="8937" xr:uid="{38A3A374-0721-4265-BE2E-0DC39F8CB0AA}"/>
    <cellStyle name="Normal 2 5 2" xfId="316" xr:uid="{00000000-0005-0000-0000-000013110000}"/>
    <cellStyle name="Normal 2 5 3" xfId="317" xr:uid="{00000000-0005-0000-0000-000014110000}"/>
    <cellStyle name="Normal 2 5 4" xfId="318" xr:uid="{00000000-0005-0000-0000-000015110000}"/>
    <cellStyle name="Normal 2 5 4 10" xfId="9771" xr:uid="{949E82D3-AC35-4D1E-A3C5-CE66FFEF77E5}"/>
    <cellStyle name="Normal 2 5 4 11" xfId="8938" xr:uid="{63B69ACF-0BAD-4249-9582-C0F60F3A2904}"/>
    <cellStyle name="Normal 2 5 4 2" xfId="319" xr:uid="{00000000-0005-0000-0000-000016110000}"/>
    <cellStyle name="Normal 2 5 4 2 10" xfId="8939" xr:uid="{3D85271D-6B76-4C21-99C4-ED3AD01A9A32}"/>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49" xr:uid="{300F2DD5-7C21-4021-88D2-ADDB4A0135D4}"/>
    <cellStyle name="Normal 2 5 4 2 2 2 2 3" xfId="12332" xr:uid="{EEF7C7B6-E2DB-4EB1-B078-1200A9AEF3EE}"/>
    <cellStyle name="Normal 2 5 4 2 2 2 3" xfId="5122" xr:uid="{00000000-0005-0000-0000-00001B110000}"/>
    <cellStyle name="Normal 2 5 4 2 2 2 3 2" xfId="14404" xr:uid="{C0985000-EF34-4B98-BA6D-015E5799C37D}"/>
    <cellStyle name="Normal 2 5 4 2 2 2 4" xfId="10187" xr:uid="{14167BDC-271D-4470-83DC-83C40209705B}"/>
    <cellStyle name="Normal 2 5 4 2 2 2 5" xfId="9359" xr:uid="{F04CC0E9-CD86-4A9A-B8D0-F91CB5B4522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962" xr:uid="{D7D5784E-C4B9-40AE-B1AB-5FFE3B74801D}"/>
    <cellStyle name="Normal 2 5 4 2 2 3 2 3" xfId="12745" xr:uid="{3A8963D1-4BAE-4156-A0F8-AB7D0BD0585B}"/>
    <cellStyle name="Normal 2 5 4 2 2 3 3" xfId="5535" xr:uid="{00000000-0005-0000-0000-00001F110000}"/>
    <cellStyle name="Normal 2 5 4 2 2 3 3 2" xfId="14817" xr:uid="{E10678AD-597B-4176-8F30-54AE8D745010}"/>
    <cellStyle name="Normal 2 5 4 2 2 3 4" xfId="10600" xr:uid="{586083A5-55ED-42A9-9957-8B822D3AD403}"/>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375" xr:uid="{F10ACC43-A02D-4C53-B10E-CBF171AB0BFA}"/>
    <cellStyle name="Normal 2 5 4 2 2 4 2 3" xfId="13158" xr:uid="{F4188A27-E856-40B5-93EC-435033CABAA3}"/>
    <cellStyle name="Normal 2 5 4 2 2 4 3" xfId="5948" xr:uid="{00000000-0005-0000-0000-000023110000}"/>
    <cellStyle name="Normal 2 5 4 2 2 4 3 2" xfId="15230" xr:uid="{B6F28566-1B85-4514-9374-E5FB43C3E757}"/>
    <cellStyle name="Normal 2 5 4 2 2 4 4" xfId="11013" xr:uid="{A3EB456E-93A8-446A-A10F-4AA9789D3D0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788" xr:uid="{78E14D97-AF79-4459-AC42-BFAE7120008C}"/>
    <cellStyle name="Normal 2 5 4 2 2 5 2 3" xfId="13571" xr:uid="{8E8B05DE-B778-4821-9B91-FBB37D9533CC}"/>
    <cellStyle name="Normal 2 5 4 2 2 5 3" xfId="6361" xr:uid="{00000000-0005-0000-0000-000027110000}"/>
    <cellStyle name="Normal 2 5 4 2 2 5 3 2" xfId="15643" xr:uid="{9679CA88-B5DB-45D8-86AA-F423D5B24312}"/>
    <cellStyle name="Normal 2 5 4 2 2 5 4" xfId="11426" xr:uid="{63D4C323-AB24-45B6-A555-F8EDDD370A1C}"/>
    <cellStyle name="Normal 2 5 4 2 2 6" xfId="2491" xr:uid="{00000000-0005-0000-0000-000028110000}"/>
    <cellStyle name="Normal 2 5 4 2 2 6 2" xfId="6774" xr:uid="{00000000-0005-0000-0000-000029110000}"/>
    <cellStyle name="Normal 2 5 4 2 2 6 2 2" xfId="16056" xr:uid="{A2765DF9-D218-4701-838F-B9C19FF828EE}"/>
    <cellStyle name="Normal 2 5 4 2 2 6 3" xfId="11839" xr:uid="{CD2E0869-DE10-4CF6-A48F-7A014FE05314}"/>
    <cellStyle name="Normal 2 5 4 2 2 7" xfId="4708" xr:uid="{00000000-0005-0000-0000-00002A110000}"/>
    <cellStyle name="Normal 2 5 4 2 2 7 2" xfId="13990" xr:uid="{2E4C85F1-67D8-4A92-A4A4-702622CF1EF9}"/>
    <cellStyle name="Normal 2 5 4 2 2 8" xfId="9773" xr:uid="{5EB866D0-FAAA-4963-949A-B9EE69C590B8}"/>
    <cellStyle name="Normal 2 5 4 2 2 9" xfId="8940" xr:uid="{CF893245-ACEB-4D80-9895-23AE04D4843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48" xr:uid="{1999BC3C-83CA-4BA2-857E-B6CA21CB690B}"/>
    <cellStyle name="Normal 2 5 4 2 3 2 3" xfId="12331" xr:uid="{C9AAB9EF-2478-4FD8-B126-355ABAEC4F92}"/>
    <cellStyle name="Normal 2 5 4 2 3 3" xfId="5121" xr:uid="{00000000-0005-0000-0000-00002E110000}"/>
    <cellStyle name="Normal 2 5 4 2 3 3 2" xfId="14403" xr:uid="{5F32818B-370F-410D-A269-4C71557E9F19}"/>
    <cellStyle name="Normal 2 5 4 2 3 4" xfId="10186" xr:uid="{22E850E3-B24D-410B-8C29-CF7528FB8033}"/>
    <cellStyle name="Normal 2 5 4 2 3 5" xfId="9358" xr:uid="{D8EE3617-BBC3-44FA-A69C-4025003EC00A}"/>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961" xr:uid="{3C3BAE43-86B9-4FCB-9283-A13ABF8E2DE8}"/>
    <cellStyle name="Normal 2 5 4 2 4 2 3" xfId="12744" xr:uid="{EEF92FE2-9262-4ED6-BB02-385C7B7F4FCE}"/>
    <cellStyle name="Normal 2 5 4 2 4 3" xfId="5534" xr:uid="{00000000-0005-0000-0000-000032110000}"/>
    <cellStyle name="Normal 2 5 4 2 4 3 2" xfId="14816" xr:uid="{739E7F0F-1109-4827-A312-5E8EA42DFF25}"/>
    <cellStyle name="Normal 2 5 4 2 4 4" xfId="10599" xr:uid="{358C3661-CED8-4B38-A438-FEEBC1539755}"/>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374" xr:uid="{21A9B460-23AB-442E-B568-A4801046C666}"/>
    <cellStyle name="Normal 2 5 4 2 5 2 3" xfId="13157" xr:uid="{8971598E-416D-4ED4-B18B-0FE52644B9B8}"/>
    <cellStyle name="Normal 2 5 4 2 5 3" xfId="5947" xr:uid="{00000000-0005-0000-0000-000036110000}"/>
    <cellStyle name="Normal 2 5 4 2 5 3 2" xfId="15229" xr:uid="{5D9AEEC6-1872-45E9-8D12-2D02964AE078}"/>
    <cellStyle name="Normal 2 5 4 2 5 4" xfId="11012" xr:uid="{4E172AA6-D9E9-43CE-B582-8D1FD3856789}"/>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787" xr:uid="{73038049-824E-411B-BEC0-4A09DBAFD6E0}"/>
    <cellStyle name="Normal 2 5 4 2 6 2 3" xfId="13570" xr:uid="{5F012022-EA7E-4BBB-A3B4-CD925E3B962E}"/>
    <cellStyle name="Normal 2 5 4 2 6 3" xfId="6360" xr:uid="{00000000-0005-0000-0000-00003A110000}"/>
    <cellStyle name="Normal 2 5 4 2 6 3 2" xfId="15642" xr:uid="{E7007BEF-4B51-424D-AEC9-D17C34D256FC}"/>
    <cellStyle name="Normal 2 5 4 2 6 4" xfId="11425" xr:uid="{374B47D6-9246-4586-A9E4-3B05E3B0370A}"/>
    <cellStyle name="Normal 2 5 4 2 7" xfId="2490" xr:uid="{00000000-0005-0000-0000-00003B110000}"/>
    <cellStyle name="Normal 2 5 4 2 7 2" xfId="6773" xr:uid="{00000000-0005-0000-0000-00003C110000}"/>
    <cellStyle name="Normal 2 5 4 2 7 2 2" xfId="16055" xr:uid="{5419AC77-99A7-47EF-BB3B-56CF575DFCF0}"/>
    <cellStyle name="Normal 2 5 4 2 7 3" xfId="11838" xr:uid="{ABF8FA23-2F82-4815-B706-55DC92E2D435}"/>
    <cellStyle name="Normal 2 5 4 2 8" xfId="4707" xr:uid="{00000000-0005-0000-0000-00003D110000}"/>
    <cellStyle name="Normal 2 5 4 2 8 2" xfId="13989" xr:uid="{6C71AC5B-31B6-4F7A-AB2E-2EA5DF30A807}"/>
    <cellStyle name="Normal 2 5 4 2 9" xfId="9772" xr:uid="{2B3AD430-DBEB-4C53-9A18-AD9C04F9B2B4}"/>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50" xr:uid="{B06265E5-5BAA-4F87-890D-64FAB8C7362E}"/>
    <cellStyle name="Normal 2 5 4 3 2 2 3" xfId="12333" xr:uid="{CB39B807-4A7E-4E9C-8026-0AD0A83A3CA0}"/>
    <cellStyle name="Normal 2 5 4 3 2 3" xfId="5123" xr:uid="{00000000-0005-0000-0000-000042110000}"/>
    <cellStyle name="Normal 2 5 4 3 2 3 2" xfId="14405" xr:uid="{F8007DBB-6973-4B5A-BC2E-B15FF511E7FC}"/>
    <cellStyle name="Normal 2 5 4 3 2 4" xfId="10188" xr:uid="{B5A9C751-0B43-4F75-8EE2-0E6C818B1241}"/>
    <cellStyle name="Normal 2 5 4 3 2 5" xfId="9360" xr:uid="{8BA2EAA6-2ACB-4257-B4EB-F5E331A8FEE7}"/>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963" xr:uid="{39602103-ED71-4C12-A412-2FF2D9778EE5}"/>
    <cellStyle name="Normal 2 5 4 3 3 2 3" xfId="12746" xr:uid="{C192FC44-815D-43D3-85F5-4413022FA9D6}"/>
    <cellStyle name="Normal 2 5 4 3 3 3" xfId="5536" xr:uid="{00000000-0005-0000-0000-000046110000}"/>
    <cellStyle name="Normal 2 5 4 3 3 3 2" xfId="14818" xr:uid="{138B0AFB-C3DA-4B77-AB9A-88D8A76639A0}"/>
    <cellStyle name="Normal 2 5 4 3 3 4" xfId="10601" xr:uid="{D07BD5FC-70F5-4460-B94A-7763F73FAB3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376" xr:uid="{869B2C25-0DD1-4627-9C6F-2B131DE8949E}"/>
    <cellStyle name="Normal 2 5 4 3 4 2 3" xfId="13159" xr:uid="{EDE747A5-E373-4E39-B783-06AC568574D7}"/>
    <cellStyle name="Normal 2 5 4 3 4 3" xfId="5949" xr:uid="{00000000-0005-0000-0000-00004A110000}"/>
    <cellStyle name="Normal 2 5 4 3 4 3 2" xfId="15231" xr:uid="{CB4BF6DB-20C4-4582-AE5F-2B96E0E5C293}"/>
    <cellStyle name="Normal 2 5 4 3 4 4" xfId="11014" xr:uid="{F97E3FD2-C4DE-4E7F-AA4D-6796F3DBA5F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789" xr:uid="{DE115429-D9AA-4A44-AE56-54BE1CAC6900}"/>
    <cellStyle name="Normal 2 5 4 3 5 2 3" xfId="13572" xr:uid="{D94BF8E0-FA38-41F3-A6A7-EA3237C9F721}"/>
    <cellStyle name="Normal 2 5 4 3 5 3" xfId="6362" xr:uid="{00000000-0005-0000-0000-00004E110000}"/>
    <cellStyle name="Normal 2 5 4 3 5 3 2" xfId="15644" xr:uid="{3F2E1DAE-CA51-4613-BED0-F07C011EAFA5}"/>
    <cellStyle name="Normal 2 5 4 3 5 4" xfId="11427" xr:uid="{B6B94E8B-87A9-4B65-B65B-D2E942E59BB6}"/>
    <cellStyle name="Normal 2 5 4 3 6" xfId="2492" xr:uid="{00000000-0005-0000-0000-00004F110000}"/>
    <cellStyle name="Normal 2 5 4 3 6 2" xfId="6775" xr:uid="{00000000-0005-0000-0000-000050110000}"/>
    <cellStyle name="Normal 2 5 4 3 6 2 2" xfId="16057" xr:uid="{B5E7A5AF-B5B4-45C4-ADED-470A66AD566F}"/>
    <cellStyle name="Normal 2 5 4 3 6 3" xfId="11840" xr:uid="{3DB9BAF2-FBDA-4784-BA8C-25A8CD93983C}"/>
    <cellStyle name="Normal 2 5 4 3 7" xfId="4709" xr:uid="{00000000-0005-0000-0000-000051110000}"/>
    <cellStyle name="Normal 2 5 4 3 7 2" xfId="13991" xr:uid="{6CE3B99E-130E-4BC0-B4AB-2EB3B6DC1B73}"/>
    <cellStyle name="Normal 2 5 4 3 8" xfId="9774" xr:uid="{C6D8629F-D60F-403A-9AE2-6C8C10861077}"/>
    <cellStyle name="Normal 2 5 4 3 9" xfId="8941" xr:uid="{96D9A373-B86D-49E5-BEF5-7AAC30E3B704}"/>
    <cellStyle name="Normal 2 5 4 4" xfId="804" xr:uid="{00000000-0005-0000-0000-000052110000}"/>
    <cellStyle name="Normal 2 5 4 4 2" xfId="3043" xr:uid="{00000000-0005-0000-0000-000053110000}"/>
    <cellStyle name="Normal 2 5 4 4 2 2" xfId="7265" xr:uid="{00000000-0005-0000-0000-000054110000}"/>
    <cellStyle name="Normal 2 5 4 4 2 2 2" xfId="16547" xr:uid="{F5503B0B-DE37-40C4-B1EE-B6BDF91A0247}"/>
    <cellStyle name="Normal 2 5 4 4 2 3" xfId="12330" xr:uid="{45A369D2-6E3D-4851-A597-21BB7B692BFE}"/>
    <cellStyle name="Normal 2 5 4 4 3" xfId="5120" xr:uid="{00000000-0005-0000-0000-000055110000}"/>
    <cellStyle name="Normal 2 5 4 4 3 2" xfId="14402" xr:uid="{64615B1C-0D27-4285-83A2-B8EA50F4D85F}"/>
    <cellStyle name="Normal 2 5 4 4 4" xfId="10185" xr:uid="{F9457F8B-955B-4C41-912D-0A78568CBC1C}"/>
    <cellStyle name="Normal 2 5 4 4 5" xfId="9357" xr:uid="{4848B513-26FA-4F34-B049-E58CFB988B6F}"/>
    <cellStyle name="Normal 2 5 4 5" xfId="1226" xr:uid="{00000000-0005-0000-0000-000056110000}"/>
    <cellStyle name="Normal 2 5 4 5 2" xfId="3456" xr:uid="{00000000-0005-0000-0000-000057110000}"/>
    <cellStyle name="Normal 2 5 4 5 2 2" xfId="7678" xr:uid="{00000000-0005-0000-0000-000058110000}"/>
    <cellStyle name="Normal 2 5 4 5 2 2 2" xfId="16960" xr:uid="{E947D1BC-C138-42B1-A856-AA9258316A4E}"/>
    <cellStyle name="Normal 2 5 4 5 2 3" xfId="12743" xr:uid="{BBD716BD-DCD0-42F3-BCF0-4B8BE6977E97}"/>
    <cellStyle name="Normal 2 5 4 5 3" xfId="5533" xr:uid="{00000000-0005-0000-0000-000059110000}"/>
    <cellStyle name="Normal 2 5 4 5 3 2" xfId="14815" xr:uid="{AEE5057D-A9B1-4601-9B12-1EB4088C9B4E}"/>
    <cellStyle name="Normal 2 5 4 5 4" xfId="10598" xr:uid="{9D9E30DC-4B9A-4CD9-85D4-EFAE08E6B416}"/>
    <cellStyle name="Normal 2 5 4 6" xfId="1639" xr:uid="{00000000-0005-0000-0000-00005A110000}"/>
    <cellStyle name="Normal 2 5 4 6 2" xfId="3869" xr:uid="{00000000-0005-0000-0000-00005B110000}"/>
    <cellStyle name="Normal 2 5 4 6 2 2" xfId="8091" xr:uid="{00000000-0005-0000-0000-00005C110000}"/>
    <cellStyle name="Normal 2 5 4 6 2 2 2" xfId="17373" xr:uid="{A8389306-0A3E-48AE-808D-9B7C491FBFAF}"/>
    <cellStyle name="Normal 2 5 4 6 2 3" xfId="13156" xr:uid="{878ECB39-9E76-410E-9AC7-DC96B52ADB57}"/>
    <cellStyle name="Normal 2 5 4 6 3" xfId="5946" xr:uid="{00000000-0005-0000-0000-00005D110000}"/>
    <cellStyle name="Normal 2 5 4 6 3 2" xfId="15228" xr:uid="{2F3F78EF-7D9D-4C20-9C54-BE776EF2852F}"/>
    <cellStyle name="Normal 2 5 4 6 4" xfId="11011" xr:uid="{2AFC6483-3339-4C98-99A2-5396C8A4A431}"/>
    <cellStyle name="Normal 2 5 4 7" xfId="2053" xr:uid="{00000000-0005-0000-0000-00005E110000}"/>
    <cellStyle name="Normal 2 5 4 7 2" xfId="4282" xr:uid="{00000000-0005-0000-0000-00005F110000}"/>
    <cellStyle name="Normal 2 5 4 7 2 2" xfId="8504" xr:uid="{00000000-0005-0000-0000-000060110000}"/>
    <cellStyle name="Normal 2 5 4 7 2 2 2" xfId="17786" xr:uid="{3A1F9016-A1BB-4FD5-B4D8-41BD045642ED}"/>
    <cellStyle name="Normal 2 5 4 7 2 3" xfId="13569" xr:uid="{BAE30CFA-DB97-4CDF-9B28-345BE2F0B59B}"/>
    <cellStyle name="Normal 2 5 4 7 3" xfId="6359" xr:uid="{00000000-0005-0000-0000-000061110000}"/>
    <cellStyle name="Normal 2 5 4 7 3 2" xfId="15641" xr:uid="{D3B058C8-DE46-439E-9E03-C1F8219A67B0}"/>
    <cellStyle name="Normal 2 5 4 7 4" xfId="11424" xr:uid="{7FA5D6E9-835F-4D95-B8B4-4E12A436C2DF}"/>
    <cellStyle name="Normal 2 5 4 8" xfId="2489" xr:uid="{00000000-0005-0000-0000-000062110000}"/>
    <cellStyle name="Normal 2 5 4 8 2" xfId="6772" xr:uid="{00000000-0005-0000-0000-000063110000}"/>
    <cellStyle name="Normal 2 5 4 8 2 2" xfId="16054" xr:uid="{7171872C-42ED-417C-A9CA-046500D061E7}"/>
    <cellStyle name="Normal 2 5 4 8 3" xfId="11837" xr:uid="{179A4BA2-6083-4F2B-8AE2-E78DB838FA1B}"/>
    <cellStyle name="Normal 2 5 4 9" xfId="4706" xr:uid="{00000000-0005-0000-0000-000064110000}"/>
    <cellStyle name="Normal 2 5 4 9 2" xfId="13988" xr:uid="{3E960372-7640-464A-826C-71D6ABE80A6F}"/>
    <cellStyle name="Normal 2 5 5" xfId="803" xr:uid="{00000000-0005-0000-0000-000065110000}"/>
    <cellStyle name="Normal 2 5 5 2" xfId="3042" xr:uid="{00000000-0005-0000-0000-000066110000}"/>
    <cellStyle name="Normal 2 5 5 2 2" xfId="7264" xr:uid="{00000000-0005-0000-0000-000067110000}"/>
    <cellStyle name="Normal 2 5 5 2 2 2" xfId="16546" xr:uid="{D406B738-2B15-4244-B0CE-3A84CA723CDB}"/>
    <cellStyle name="Normal 2 5 5 2 3" xfId="12329" xr:uid="{0BE04457-108B-49B8-B42C-CA69470849F0}"/>
    <cellStyle name="Normal 2 5 5 3" xfId="5119" xr:uid="{00000000-0005-0000-0000-000068110000}"/>
    <cellStyle name="Normal 2 5 5 3 2" xfId="14401" xr:uid="{1FD286D3-2F85-4BDD-B41F-CA947F11211A}"/>
    <cellStyle name="Normal 2 5 5 4" xfId="10184" xr:uid="{0E565365-1F71-4285-BF7E-22B4E6AA042F}"/>
    <cellStyle name="Normal 2 5 5 5" xfId="9356" xr:uid="{0624440F-057B-4124-A34F-B36036555765}"/>
    <cellStyle name="Normal 2 5 6" xfId="1225" xr:uid="{00000000-0005-0000-0000-000069110000}"/>
    <cellStyle name="Normal 2 5 6 2" xfId="3455" xr:uid="{00000000-0005-0000-0000-00006A110000}"/>
    <cellStyle name="Normal 2 5 6 2 2" xfId="7677" xr:uid="{00000000-0005-0000-0000-00006B110000}"/>
    <cellStyle name="Normal 2 5 6 2 2 2" xfId="16959" xr:uid="{CDCB9A29-EC95-4EE8-8AAF-9F2B412ECC9D}"/>
    <cellStyle name="Normal 2 5 6 2 3" xfId="12742" xr:uid="{4273C2DF-EA7C-422D-87B3-CDC4E16D53C5}"/>
    <cellStyle name="Normal 2 5 6 3" xfId="5532" xr:uid="{00000000-0005-0000-0000-00006C110000}"/>
    <cellStyle name="Normal 2 5 6 3 2" xfId="14814" xr:uid="{7F22FE27-542F-4BBC-9E28-56674D2D1C2D}"/>
    <cellStyle name="Normal 2 5 6 4" xfId="10597" xr:uid="{FEF5C154-0656-4592-86A3-4C20E6FAC0BE}"/>
    <cellStyle name="Normal 2 5 7" xfId="1638" xr:uid="{00000000-0005-0000-0000-00006D110000}"/>
    <cellStyle name="Normal 2 5 7 2" xfId="3868" xr:uid="{00000000-0005-0000-0000-00006E110000}"/>
    <cellStyle name="Normal 2 5 7 2 2" xfId="8090" xr:uid="{00000000-0005-0000-0000-00006F110000}"/>
    <cellStyle name="Normal 2 5 7 2 2 2" xfId="17372" xr:uid="{C2120428-9359-4521-A3EB-CDE71B412795}"/>
    <cellStyle name="Normal 2 5 7 2 3" xfId="13155" xr:uid="{C98C8D57-61CA-47DF-90EE-9B0D4E59751A}"/>
    <cellStyle name="Normal 2 5 7 3" xfId="5945" xr:uid="{00000000-0005-0000-0000-000070110000}"/>
    <cellStyle name="Normal 2 5 7 3 2" xfId="15227" xr:uid="{A545C19A-73FA-4356-AEE8-5B97FF83CF86}"/>
    <cellStyle name="Normal 2 5 7 4" xfId="11010" xr:uid="{C52911ED-25E3-49F5-9465-110B0091EE5F}"/>
    <cellStyle name="Normal 2 5 8" xfId="2052" xr:uid="{00000000-0005-0000-0000-000071110000}"/>
    <cellStyle name="Normal 2 5 8 2" xfId="4281" xr:uid="{00000000-0005-0000-0000-000072110000}"/>
    <cellStyle name="Normal 2 5 8 2 2" xfId="8503" xr:uid="{00000000-0005-0000-0000-000073110000}"/>
    <cellStyle name="Normal 2 5 8 2 2 2" xfId="17785" xr:uid="{0496C460-9CD2-47CC-AA69-22D64636CD59}"/>
    <cellStyle name="Normal 2 5 8 2 3" xfId="13568" xr:uid="{65D8DC85-9690-4CD1-A0B6-9D2280A2605B}"/>
    <cellStyle name="Normal 2 5 8 3" xfId="6358" xr:uid="{00000000-0005-0000-0000-000074110000}"/>
    <cellStyle name="Normal 2 5 8 3 2" xfId="15640" xr:uid="{123B6B22-33F7-4FA8-9B07-222BD0A1875E}"/>
    <cellStyle name="Normal 2 5 8 4" xfId="11423" xr:uid="{A2FBD4E3-8C77-484F-A910-65D22A0B5068}"/>
    <cellStyle name="Normal 2 5 9" xfId="2488" xr:uid="{00000000-0005-0000-0000-000075110000}"/>
    <cellStyle name="Normal 2 5 9 2" xfId="6771" xr:uid="{00000000-0005-0000-0000-000076110000}"/>
    <cellStyle name="Normal 2 5 9 2 2" xfId="16053" xr:uid="{C2A58D54-E25C-4250-8DFF-6D5B5BF0EBBF}"/>
    <cellStyle name="Normal 2 5 9 3" xfId="11836" xr:uid="{FF99E161-9CE6-423E-AE37-9D9AF70399EE}"/>
    <cellStyle name="Normal 2 6" xfId="322" xr:uid="{00000000-0005-0000-0000-000077110000}"/>
    <cellStyle name="Normal 2 7" xfId="769" xr:uid="{00000000-0005-0000-0000-000078110000}"/>
    <cellStyle name="Normal 2 8" xfId="4495" xr:uid="{00000000-0005-0000-0000-000079110000}"/>
    <cellStyle name="Normal 2 8 2" xfId="9149" xr:uid="{9C60173E-C198-4F51-BD45-1886E6946C0C}"/>
    <cellStyle name="Normal 3" xfId="323" xr:uid="{00000000-0005-0000-0000-00007A110000}"/>
    <cellStyle name="Normal 3 2" xfId="324" xr:uid="{00000000-0005-0000-0000-00007B110000}"/>
    <cellStyle name="Normal 3 2 10" xfId="9775" xr:uid="{00ADD146-5E60-4A79-8619-F812B850B572}"/>
    <cellStyle name="Normal 3 2 11" xfId="8942" xr:uid="{C3AE8D9F-15E8-453C-986A-20155633EAF5}"/>
    <cellStyle name="Normal 3 2 2" xfId="325" xr:uid="{00000000-0005-0000-0000-00007C110000}"/>
    <cellStyle name="Normal 3 2 2 2" xfId="810" xr:uid="{00000000-0005-0000-0000-00007D110000}"/>
    <cellStyle name="Normal 3 2 3" xfId="326" xr:uid="{00000000-0005-0000-0000-00007E110000}"/>
    <cellStyle name="Normal 3 2 3 10" xfId="9776" xr:uid="{CF0584A7-DD69-4BCC-A1C6-8FE458D47D5A}"/>
    <cellStyle name="Normal 3 2 3 11" xfId="8943" xr:uid="{7B3D369B-8A3A-48DE-89C5-6600FC4CA7E7}"/>
    <cellStyle name="Normal 3 2 3 2" xfId="327" xr:uid="{00000000-0005-0000-0000-00007F110000}"/>
    <cellStyle name="Normal 3 2 3 2 10" xfId="8944" xr:uid="{6E13683B-8B3E-499A-B96C-381A36CB8BBD}"/>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54" xr:uid="{55B910D8-B22C-41A3-8EE3-16EE3D7BDF0C}"/>
    <cellStyle name="Normal 3 2 3 2 2 2 2 3" xfId="12337" xr:uid="{C6D3B633-2ED2-4F58-95CE-B2C846538426}"/>
    <cellStyle name="Normal 3 2 3 2 2 2 3" xfId="5127" xr:uid="{00000000-0005-0000-0000-000084110000}"/>
    <cellStyle name="Normal 3 2 3 2 2 2 3 2" xfId="14409" xr:uid="{3AFFAC65-C15A-4426-A93A-9C4D11A6B35E}"/>
    <cellStyle name="Normal 3 2 3 2 2 2 4" xfId="10192" xr:uid="{40526098-1258-4551-80B6-47BC97E96E52}"/>
    <cellStyle name="Normal 3 2 3 2 2 2 5" xfId="9364" xr:uid="{FDA3F746-8A3A-41C6-A605-706DC6540FB1}"/>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967" xr:uid="{7A6155AA-D5F8-4E06-BB03-F7567E552121}"/>
    <cellStyle name="Normal 3 2 3 2 2 3 2 3" xfId="12750" xr:uid="{449A6E01-8C3F-4841-93F8-2F8FBF78159E}"/>
    <cellStyle name="Normal 3 2 3 2 2 3 3" xfId="5540" xr:uid="{00000000-0005-0000-0000-000088110000}"/>
    <cellStyle name="Normal 3 2 3 2 2 3 3 2" xfId="14822" xr:uid="{EEE4E3CE-BC14-49CF-95B3-30C9D9EBD6D6}"/>
    <cellStyle name="Normal 3 2 3 2 2 3 4" xfId="10605" xr:uid="{08A2264B-3DF7-40BE-9FE0-674B8E63754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380" xr:uid="{25FEBCD4-7677-4389-830E-21E7869F9F77}"/>
    <cellStyle name="Normal 3 2 3 2 2 4 2 3" xfId="13163" xr:uid="{EBA6B6C9-9B52-4611-A8F3-C2A0106B2085}"/>
    <cellStyle name="Normal 3 2 3 2 2 4 3" xfId="5953" xr:uid="{00000000-0005-0000-0000-00008C110000}"/>
    <cellStyle name="Normal 3 2 3 2 2 4 3 2" xfId="15235" xr:uid="{BAD4A38C-AB14-4EDA-831A-3ECC43DFDCB8}"/>
    <cellStyle name="Normal 3 2 3 2 2 4 4" xfId="11018" xr:uid="{9BD43EB0-8267-43CA-AD67-579E05FDD531}"/>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793" xr:uid="{80AF3C9A-F685-4A04-A8FE-7A757BB76BE8}"/>
    <cellStyle name="Normal 3 2 3 2 2 5 2 3" xfId="13576" xr:uid="{6F10A248-E664-445C-AE3C-C4D509F6F85F}"/>
    <cellStyle name="Normal 3 2 3 2 2 5 3" xfId="6366" xr:uid="{00000000-0005-0000-0000-000090110000}"/>
    <cellStyle name="Normal 3 2 3 2 2 5 3 2" xfId="15648" xr:uid="{10EEFBE4-9301-4882-B497-342585FA2CCC}"/>
    <cellStyle name="Normal 3 2 3 2 2 5 4" xfId="11431" xr:uid="{D5368035-672C-401F-914C-6D5B88A7A99F}"/>
    <cellStyle name="Normal 3 2 3 2 2 6" xfId="2496" xr:uid="{00000000-0005-0000-0000-000091110000}"/>
    <cellStyle name="Normal 3 2 3 2 2 6 2" xfId="6779" xr:uid="{00000000-0005-0000-0000-000092110000}"/>
    <cellStyle name="Normal 3 2 3 2 2 6 2 2" xfId="16061" xr:uid="{AE49385E-207C-4CEB-93A7-F6F61CBF0332}"/>
    <cellStyle name="Normal 3 2 3 2 2 6 3" xfId="11844" xr:uid="{1664DA92-FC13-4D51-9933-B77512791521}"/>
    <cellStyle name="Normal 3 2 3 2 2 7" xfId="4713" xr:uid="{00000000-0005-0000-0000-000093110000}"/>
    <cellStyle name="Normal 3 2 3 2 2 7 2" xfId="13995" xr:uid="{ED1B6B98-1FE0-4453-B548-4F244B60FB88}"/>
    <cellStyle name="Normal 3 2 3 2 2 8" xfId="9778" xr:uid="{2CDD41A5-8A32-4DB9-8ED2-1BA2903E2FC1}"/>
    <cellStyle name="Normal 3 2 3 2 2 9" xfId="8945" xr:uid="{050A69FA-31AE-4FF4-B3AD-F8DCEDF3EC7D}"/>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53" xr:uid="{C00C8106-9046-417A-96FE-F56B9ED1D98C}"/>
    <cellStyle name="Normal 3 2 3 2 3 2 3" xfId="12336" xr:uid="{636B72B2-E2CE-4708-950B-3A8B0511199E}"/>
    <cellStyle name="Normal 3 2 3 2 3 3" xfId="5126" xr:uid="{00000000-0005-0000-0000-000097110000}"/>
    <cellStyle name="Normal 3 2 3 2 3 3 2" xfId="14408" xr:uid="{C5D76B81-35E8-40C6-B64A-2998546C256C}"/>
    <cellStyle name="Normal 3 2 3 2 3 4" xfId="10191" xr:uid="{2A151F50-D60C-479F-AE0D-41A616D32431}"/>
    <cellStyle name="Normal 3 2 3 2 3 5" xfId="9363" xr:uid="{0326AD4A-A86B-4396-8D9A-5E5C2404FB8E}"/>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966" xr:uid="{F705ED86-1F3C-4F86-8404-BCD3465F4C39}"/>
    <cellStyle name="Normal 3 2 3 2 4 2 3" xfId="12749" xr:uid="{9170A501-95D5-46CD-B1C9-FDAF1D03B3BB}"/>
    <cellStyle name="Normal 3 2 3 2 4 3" xfId="5539" xr:uid="{00000000-0005-0000-0000-00009B110000}"/>
    <cellStyle name="Normal 3 2 3 2 4 3 2" xfId="14821" xr:uid="{130E44E1-EE8B-403D-966F-3380B2339CF7}"/>
    <cellStyle name="Normal 3 2 3 2 4 4" xfId="10604" xr:uid="{0EAA6EAB-5406-44CE-A0E1-FC47CD8DAEBD}"/>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379" xr:uid="{182721B3-38F4-43A1-9467-BC18BF9ADED1}"/>
    <cellStyle name="Normal 3 2 3 2 5 2 3" xfId="13162" xr:uid="{E147C96A-E68C-41C9-84D6-1302D87BBF8B}"/>
    <cellStyle name="Normal 3 2 3 2 5 3" xfId="5952" xr:uid="{00000000-0005-0000-0000-00009F110000}"/>
    <cellStyle name="Normal 3 2 3 2 5 3 2" xfId="15234" xr:uid="{BCF6139A-8E94-45BA-AE80-D38532AC118A}"/>
    <cellStyle name="Normal 3 2 3 2 5 4" xfId="11017" xr:uid="{041ABE8D-C2DE-4EB7-99DB-05AF2526C425}"/>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792" xr:uid="{F360D8F0-8BB8-4BF9-86E2-9C8594ADAA71}"/>
    <cellStyle name="Normal 3 2 3 2 6 2 3" xfId="13575" xr:uid="{481EDB19-4FC3-4FCC-B3CA-77D810528A85}"/>
    <cellStyle name="Normal 3 2 3 2 6 3" xfId="6365" xr:uid="{00000000-0005-0000-0000-0000A3110000}"/>
    <cellStyle name="Normal 3 2 3 2 6 3 2" xfId="15647" xr:uid="{3B1777CD-D5DF-40B8-BC3C-DC57406BD886}"/>
    <cellStyle name="Normal 3 2 3 2 6 4" xfId="11430" xr:uid="{58DC0C53-06AB-4FD0-94B4-1E8432541F19}"/>
    <cellStyle name="Normal 3 2 3 2 7" xfId="2495" xr:uid="{00000000-0005-0000-0000-0000A4110000}"/>
    <cellStyle name="Normal 3 2 3 2 7 2" xfId="6778" xr:uid="{00000000-0005-0000-0000-0000A5110000}"/>
    <cellStyle name="Normal 3 2 3 2 7 2 2" xfId="16060" xr:uid="{5E6CE7A0-B87F-4B5D-8FF2-3243019B0EF0}"/>
    <cellStyle name="Normal 3 2 3 2 7 3" xfId="11843" xr:uid="{919A416F-F6F5-45A5-A7F1-65DB1D207C39}"/>
    <cellStyle name="Normal 3 2 3 2 8" xfId="4712" xr:uid="{00000000-0005-0000-0000-0000A6110000}"/>
    <cellStyle name="Normal 3 2 3 2 8 2" xfId="13994" xr:uid="{DB13BCBE-CF43-4FA6-8997-D99D471888EC}"/>
    <cellStyle name="Normal 3 2 3 2 9" xfId="9777" xr:uid="{0B29E099-B95E-41F2-AFCE-9817E88BCF1E}"/>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55" xr:uid="{168AFF97-E2A7-4AB5-9A16-601016DCE753}"/>
    <cellStyle name="Normal 3 2 3 3 2 2 3" xfId="12338" xr:uid="{F041CF7F-CA9B-47B3-BDDC-46F5435A1EE8}"/>
    <cellStyle name="Normal 3 2 3 3 2 3" xfId="5128" xr:uid="{00000000-0005-0000-0000-0000AB110000}"/>
    <cellStyle name="Normal 3 2 3 3 2 3 2" xfId="14410" xr:uid="{4A2CDC28-5D00-4585-96FF-4DBB188E163E}"/>
    <cellStyle name="Normal 3 2 3 3 2 4" xfId="10193" xr:uid="{EA6CB74C-9279-44B7-9990-673EE2C42F6D}"/>
    <cellStyle name="Normal 3 2 3 3 2 5" xfId="9365" xr:uid="{F27AE2EE-EB65-48A6-917C-4983FED605E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968" xr:uid="{5B85C778-8DD8-4802-8E27-7ADBEE8E593B}"/>
    <cellStyle name="Normal 3 2 3 3 3 2 3" xfId="12751" xr:uid="{8A887A78-7B22-4BE8-AA7A-7D4F91B0E01F}"/>
    <cellStyle name="Normal 3 2 3 3 3 3" xfId="5541" xr:uid="{00000000-0005-0000-0000-0000AF110000}"/>
    <cellStyle name="Normal 3 2 3 3 3 3 2" xfId="14823" xr:uid="{C84A0D6C-E743-41A5-B4E3-8BC1D381F9FC}"/>
    <cellStyle name="Normal 3 2 3 3 3 4" xfId="10606" xr:uid="{3FBDBD75-76C3-4EC4-88E9-F8C987F43A7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381" xr:uid="{633343B8-8F01-46C2-B01B-043126BF1F66}"/>
    <cellStyle name="Normal 3 2 3 3 4 2 3" xfId="13164" xr:uid="{6533EA2E-722C-4130-83C7-A054AD669A1D}"/>
    <cellStyle name="Normal 3 2 3 3 4 3" xfId="5954" xr:uid="{00000000-0005-0000-0000-0000B3110000}"/>
    <cellStyle name="Normal 3 2 3 3 4 3 2" xfId="15236" xr:uid="{B9C9E492-CF00-4FE9-912D-F4C8272B7625}"/>
    <cellStyle name="Normal 3 2 3 3 4 4" xfId="11019" xr:uid="{8B84F81B-F8EF-4392-B705-A1C7E4DD0FA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794" xr:uid="{B4948EE1-9FA7-4367-80F9-D47336BF458A}"/>
    <cellStyle name="Normal 3 2 3 3 5 2 3" xfId="13577" xr:uid="{00D06744-B28E-4A47-B184-E5F264375867}"/>
    <cellStyle name="Normal 3 2 3 3 5 3" xfId="6367" xr:uid="{00000000-0005-0000-0000-0000B7110000}"/>
    <cellStyle name="Normal 3 2 3 3 5 3 2" xfId="15649" xr:uid="{FDB09B97-F374-41D5-A93E-300DAEC61F47}"/>
    <cellStyle name="Normal 3 2 3 3 5 4" xfId="11432" xr:uid="{92AA31F7-C6A5-4042-A2D3-507EBAC392F6}"/>
    <cellStyle name="Normal 3 2 3 3 6" xfId="2497" xr:uid="{00000000-0005-0000-0000-0000B8110000}"/>
    <cellStyle name="Normal 3 2 3 3 6 2" xfId="6780" xr:uid="{00000000-0005-0000-0000-0000B9110000}"/>
    <cellStyle name="Normal 3 2 3 3 6 2 2" xfId="16062" xr:uid="{6A2B50E2-2523-400E-BD25-487F8247D451}"/>
    <cellStyle name="Normal 3 2 3 3 6 3" xfId="11845" xr:uid="{1B9EF7DD-FDE7-4DA7-8F09-87199B368AC3}"/>
    <cellStyle name="Normal 3 2 3 3 7" xfId="4714" xr:uid="{00000000-0005-0000-0000-0000BA110000}"/>
    <cellStyle name="Normal 3 2 3 3 7 2" xfId="13996" xr:uid="{0D557637-FD18-4D08-AA28-3793F476FB29}"/>
    <cellStyle name="Normal 3 2 3 3 8" xfId="9779" xr:uid="{2FE47E18-5C31-4340-B562-19426DE90753}"/>
    <cellStyle name="Normal 3 2 3 3 9" xfId="8946" xr:uid="{F4F6F9B0-E928-419C-B876-1945EFFF1767}"/>
    <cellStyle name="Normal 3 2 3 4" xfId="811" xr:uid="{00000000-0005-0000-0000-0000BB110000}"/>
    <cellStyle name="Normal 3 2 3 4 2" xfId="3048" xr:uid="{00000000-0005-0000-0000-0000BC110000}"/>
    <cellStyle name="Normal 3 2 3 4 2 2" xfId="7270" xr:uid="{00000000-0005-0000-0000-0000BD110000}"/>
    <cellStyle name="Normal 3 2 3 4 2 2 2" xfId="16552" xr:uid="{BEE43439-6F0C-402C-B2FC-B8789223C065}"/>
    <cellStyle name="Normal 3 2 3 4 2 3" xfId="12335" xr:uid="{D13F1C17-3D38-44C9-9E0B-89081C7C2B5F}"/>
    <cellStyle name="Normal 3 2 3 4 3" xfId="5125" xr:uid="{00000000-0005-0000-0000-0000BE110000}"/>
    <cellStyle name="Normal 3 2 3 4 3 2" xfId="14407" xr:uid="{F8C406B4-6FC1-4E0B-B054-8A03189A7866}"/>
    <cellStyle name="Normal 3 2 3 4 4" xfId="10190" xr:uid="{FE1D23D0-53FB-4F26-A687-AC20651C2F18}"/>
    <cellStyle name="Normal 3 2 3 4 5" xfId="9362" xr:uid="{418CC9CB-2307-4C91-9105-1C880E4D8DEC}"/>
    <cellStyle name="Normal 3 2 3 5" xfId="1231" xr:uid="{00000000-0005-0000-0000-0000BF110000}"/>
    <cellStyle name="Normal 3 2 3 5 2" xfId="3461" xr:uid="{00000000-0005-0000-0000-0000C0110000}"/>
    <cellStyle name="Normal 3 2 3 5 2 2" xfId="7683" xr:uid="{00000000-0005-0000-0000-0000C1110000}"/>
    <cellStyle name="Normal 3 2 3 5 2 2 2" xfId="16965" xr:uid="{FE846B24-12BE-45C3-BE9E-E58D29D43437}"/>
    <cellStyle name="Normal 3 2 3 5 2 3" xfId="12748" xr:uid="{F6EB94BD-985C-4EC1-B605-AA7DDE5AAA5F}"/>
    <cellStyle name="Normal 3 2 3 5 3" xfId="5538" xr:uid="{00000000-0005-0000-0000-0000C2110000}"/>
    <cellStyle name="Normal 3 2 3 5 3 2" xfId="14820" xr:uid="{4801113D-3883-4179-B09D-8EB9F66B7F27}"/>
    <cellStyle name="Normal 3 2 3 5 4" xfId="10603" xr:uid="{EDB04AB0-D095-4BE4-A16B-507BCB748792}"/>
    <cellStyle name="Normal 3 2 3 6" xfId="1644" xr:uid="{00000000-0005-0000-0000-0000C3110000}"/>
    <cellStyle name="Normal 3 2 3 6 2" xfId="3874" xr:uid="{00000000-0005-0000-0000-0000C4110000}"/>
    <cellStyle name="Normal 3 2 3 6 2 2" xfId="8096" xr:uid="{00000000-0005-0000-0000-0000C5110000}"/>
    <cellStyle name="Normal 3 2 3 6 2 2 2" xfId="17378" xr:uid="{FF872810-82F1-4A16-BFFF-EB77AED93D7D}"/>
    <cellStyle name="Normal 3 2 3 6 2 3" xfId="13161" xr:uid="{87630D07-A242-4E40-B200-3117705316C2}"/>
    <cellStyle name="Normal 3 2 3 6 3" xfId="5951" xr:uid="{00000000-0005-0000-0000-0000C6110000}"/>
    <cellStyle name="Normal 3 2 3 6 3 2" xfId="15233" xr:uid="{961CF7AC-4A12-46CE-A83F-6F2FBB672881}"/>
    <cellStyle name="Normal 3 2 3 6 4" xfId="11016" xr:uid="{80D9C61C-032E-4CD9-814C-34204E88C055}"/>
    <cellStyle name="Normal 3 2 3 7" xfId="2058" xr:uid="{00000000-0005-0000-0000-0000C7110000}"/>
    <cellStyle name="Normal 3 2 3 7 2" xfId="4287" xr:uid="{00000000-0005-0000-0000-0000C8110000}"/>
    <cellStyle name="Normal 3 2 3 7 2 2" xfId="8509" xr:uid="{00000000-0005-0000-0000-0000C9110000}"/>
    <cellStyle name="Normal 3 2 3 7 2 2 2" xfId="17791" xr:uid="{5D5095D9-54AA-4F11-A0C5-6A3936E5269F}"/>
    <cellStyle name="Normal 3 2 3 7 2 3" xfId="13574" xr:uid="{A9C2BABF-746D-4AC3-A883-B6A0295BB795}"/>
    <cellStyle name="Normal 3 2 3 7 3" xfId="6364" xr:uid="{00000000-0005-0000-0000-0000CA110000}"/>
    <cellStyle name="Normal 3 2 3 7 3 2" xfId="15646" xr:uid="{35C379E0-B684-448E-BC61-D6932097A592}"/>
    <cellStyle name="Normal 3 2 3 7 4" xfId="11429" xr:uid="{D30B51B6-0E39-4415-B0AC-E71305464D3C}"/>
    <cellStyle name="Normal 3 2 3 8" xfId="2494" xr:uid="{00000000-0005-0000-0000-0000CB110000}"/>
    <cellStyle name="Normal 3 2 3 8 2" xfId="6777" xr:uid="{00000000-0005-0000-0000-0000CC110000}"/>
    <cellStyle name="Normal 3 2 3 8 2 2" xfId="16059" xr:uid="{9F077FA0-DAFB-45F8-BA14-A65C547CDFC8}"/>
    <cellStyle name="Normal 3 2 3 8 3" xfId="11842" xr:uid="{CF183207-5F16-42DA-8B7D-C92CCB6F3EFE}"/>
    <cellStyle name="Normal 3 2 3 9" xfId="4711" xr:uid="{00000000-0005-0000-0000-0000CD110000}"/>
    <cellStyle name="Normal 3 2 3 9 2" xfId="13993" xr:uid="{7EEE6075-1200-4BB0-8057-24980466D819}"/>
    <cellStyle name="Normal 3 2 4" xfId="809" xr:uid="{00000000-0005-0000-0000-0000CE110000}"/>
    <cellStyle name="Normal 3 2 4 2" xfId="3047" xr:uid="{00000000-0005-0000-0000-0000CF110000}"/>
    <cellStyle name="Normal 3 2 4 2 2" xfId="7269" xr:uid="{00000000-0005-0000-0000-0000D0110000}"/>
    <cellStyle name="Normal 3 2 4 2 2 2" xfId="16551" xr:uid="{3137D6E2-EE69-42CD-9B5B-3DC62D995DF8}"/>
    <cellStyle name="Normal 3 2 4 2 3" xfId="12334" xr:uid="{A5C634E0-2E61-4319-8ABF-20751241C847}"/>
    <cellStyle name="Normal 3 2 4 3" xfId="5124" xr:uid="{00000000-0005-0000-0000-0000D1110000}"/>
    <cellStyle name="Normal 3 2 4 3 2" xfId="14406" xr:uid="{08410E16-5289-4AE7-B30F-0B8D5A5A41C2}"/>
    <cellStyle name="Normal 3 2 4 4" xfId="10189" xr:uid="{D2F7CF11-F871-4849-964C-AF47BB12382E}"/>
    <cellStyle name="Normal 3 2 4 5" xfId="9361" xr:uid="{F9E766D0-CDCA-4862-921D-F1FE4A461D58}"/>
    <cellStyle name="Normal 3 2 5" xfId="1230" xr:uid="{00000000-0005-0000-0000-0000D2110000}"/>
    <cellStyle name="Normal 3 2 5 2" xfId="3460" xr:uid="{00000000-0005-0000-0000-0000D3110000}"/>
    <cellStyle name="Normal 3 2 5 2 2" xfId="7682" xr:uid="{00000000-0005-0000-0000-0000D4110000}"/>
    <cellStyle name="Normal 3 2 5 2 2 2" xfId="16964" xr:uid="{9EC8F545-FECE-4F3B-9B04-50656E15B4D9}"/>
    <cellStyle name="Normal 3 2 5 2 3" xfId="12747" xr:uid="{957BE0B2-E7C5-4D8E-BF79-48CE339C13DD}"/>
    <cellStyle name="Normal 3 2 5 3" xfId="5537" xr:uid="{00000000-0005-0000-0000-0000D5110000}"/>
    <cellStyle name="Normal 3 2 5 3 2" xfId="14819" xr:uid="{65D9F745-5C37-4629-85DA-48C18BC55090}"/>
    <cellStyle name="Normal 3 2 5 4" xfId="10602" xr:uid="{B093EE9F-55EE-4675-AA15-54ED942D9034}"/>
    <cellStyle name="Normal 3 2 6" xfId="1643" xr:uid="{00000000-0005-0000-0000-0000D6110000}"/>
    <cellStyle name="Normal 3 2 6 2" xfId="3873" xr:uid="{00000000-0005-0000-0000-0000D7110000}"/>
    <cellStyle name="Normal 3 2 6 2 2" xfId="8095" xr:uid="{00000000-0005-0000-0000-0000D8110000}"/>
    <cellStyle name="Normal 3 2 6 2 2 2" xfId="17377" xr:uid="{D1F0ECFA-5995-4AFE-838B-8A8E44C76297}"/>
    <cellStyle name="Normal 3 2 6 2 3" xfId="13160" xr:uid="{EB281E2D-54C5-472D-AAFA-0BB5BD3779BD}"/>
    <cellStyle name="Normal 3 2 6 3" xfId="5950" xr:uid="{00000000-0005-0000-0000-0000D9110000}"/>
    <cellStyle name="Normal 3 2 6 3 2" xfId="15232" xr:uid="{511A65B4-F30A-40ED-9CAB-0E3D0D8D0E74}"/>
    <cellStyle name="Normal 3 2 6 4" xfId="11015" xr:uid="{E28AB2B8-2586-4255-9DE4-EAADF8105B61}"/>
    <cellStyle name="Normal 3 2 7" xfId="2057" xr:uid="{00000000-0005-0000-0000-0000DA110000}"/>
    <cellStyle name="Normal 3 2 7 2" xfId="4286" xr:uid="{00000000-0005-0000-0000-0000DB110000}"/>
    <cellStyle name="Normal 3 2 7 2 2" xfId="8508" xr:uid="{00000000-0005-0000-0000-0000DC110000}"/>
    <cellStyle name="Normal 3 2 7 2 2 2" xfId="17790" xr:uid="{E057418F-BB61-4DFB-A96B-481FDBF0F9EF}"/>
    <cellStyle name="Normal 3 2 7 2 3" xfId="13573" xr:uid="{10166BF3-0740-40E1-A32D-8338D14E75A5}"/>
    <cellStyle name="Normal 3 2 7 3" xfId="6363" xr:uid="{00000000-0005-0000-0000-0000DD110000}"/>
    <cellStyle name="Normal 3 2 7 3 2" xfId="15645" xr:uid="{13E89E58-A958-401F-BF25-664D08A1B9AF}"/>
    <cellStyle name="Normal 3 2 7 4" xfId="11428" xr:uid="{445111DD-1CA4-45E2-A0E4-2A2F6747182C}"/>
    <cellStyle name="Normal 3 2 8" xfId="2493" xr:uid="{00000000-0005-0000-0000-0000DE110000}"/>
    <cellStyle name="Normal 3 2 8 2" xfId="6776" xr:uid="{00000000-0005-0000-0000-0000DF110000}"/>
    <cellStyle name="Normal 3 2 8 2 2" xfId="16058" xr:uid="{A09E6548-3E80-4A87-8233-09AAB56330FE}"/>
    <cellStyle name="Normal 3 2 8 3" xfId="11841" xr:uid="{9810CA4E-95B2-495C-8B7A-C73BC74AFA38}"/>
    <cellStyle name="Normal 3 2 9" xfId="4710" xr:uid="{00000000-0005-0000-0000-0000E0110000}"/>
    <cellStyle name="Normal 3 2 9 2" xfId="13992" xr:uid="{39E1CEA6-FFCB-4215-A883-F8CE250673F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9780" xr:uid="{5D3623C1-322B-49DD-8CF9-8C91FBF80CE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795" xr:uid="{FB13A786-6A90-43CD-9DF6-431610A2EDAB}"/>
    <cellStyle name="Normal 4 2 2 10 2 3" xfId="13578" xr:uid="{B3EFBF66-48F1-43F4-A3D5-7041CA0E7551}"/>
    <cellStyle name="Normal 4 2 2 10 3" xfId="6368" xr:uid="{00000000-0005-0000-0000-0000ED110000}"/>
    <cellStyle name="Normal 4 2 2 10 3 2" xfId="15650" xr:uid="{4B9E914A-E781-4705-89D6-4BF1B898C193}"/>
    <cellStyle name="Normal 4 2 2 10 4" xfId="11433" xr:uid="{AAB069B4-559B-4F4D-A29F-F55C2D9822A5}"/>
    <cellStyle name="Normal 4 2 2 11" xfId="2498" xr:uid="{00000000-0005-0000-0000-0000EE110000}"/>
    <cellStyle name="Normal 4 2 2 11 2" xfId="6781" xr:uid="{00000000-0005-0000-0000-0000EF110000}"/>
    <cellStyle name="Normal 4 2 2 11 2 2" xfId="16063" xr:uid="{4DA4F447-F06E-4FAE-A9FB-2480C66B67B4}"/>
    <cellStyle name="Normal 4 2 2 11 3" xfId="11846" xr:uid="{D40891BE-DF42-4108-A7F0-8A7964F4390A}"/>
    <cellStyle name="Normal 4 2 2 12" xfId="4716" xr:uid="{00000000-0005-0000-0000-0000F0110000}"/>
    <cellStyle name="Normal 4 2 2 12 2" xfId="13998" xr:uid="{E597D662-4133-4D38-9B64-BA6FF148597A}"/>
    <cellStyle name="Normal 4 2 2 13" xfId="9781" xr:uid="{CD79902C-DD87-4F87-96A9-7CD52A3D1B26}"/>
    <cellStyle name="Normal 4 2 2 14" xfId="8947" xr:uid="{978C1A20-10B6-4B73-9978-FADAA3AA7711}"/>
    <cellStyle name="Normal 4 2 2 2" xfId="338" xr:uid="{00000000-0005-0000-0000-0000F1110000}"/>
    <cellStyle name="Normal 4 2 2 3" xfId="339" xr:uid="{00000000-0005-0000-0000-0000F2110000}"/>
    <cellStyle name="Normal 4 2 2 3 10" xfId="4717" xr:uid="{00000000-0005-0000-0000-0000F3110000}"/>
    <cellStyle name="Normal 4 2 2 3 10 2" xfId="13999" xr:uid="{39694542-C53C-45D8-BD8A-0B09DB53C649}"/>
    <cellStyle name="Normal 4 2 2 3 11" xfId="9782" xr:uid="{2FE00295-120C-4C6A-9891-1C611E1D301C}"/>
    <cellStyle name="Normal 4 2 2 3 12" xfId="8948" xr:uid="{8DE1999B-BFCF-4D1E-8C0C-265028341EF0}"/>
    <cellStyle name="Normal 4 2 2 3 2" xfId="340" xr:uid="{00000000-0005-0000-0000-0000F4110000}"/>
    <cellStyle name="Normal 4 2 2 3 2 10" xfId="9783" xr:uid="{0ACC6D5F-DABC-4E4D-A5BC-F406777B287F}"/>
    <cellStyle name="Normal 4 2 2 3 2 11" xfId="8949" xr:uid="{A15FFF21-48A3-443C-8A25-CF4BAB4777BA}"/>
    <cellStyle name="Normal 4 2 2 3 2 2" xfId="341" xr:uid="{00000000-0005-0000-0000-0000F5110000}"/>
    <cellStyle name="Normal 4 2 2 3 2 2 10" xfId="8950" xr:uid="{61EC3FCA-9DED-4CF4-A638-66A60C77148C}"/>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560" xr:uid="{A2C1CF45-6DD1-4239-8B9B-D79EE1EC50B0}"/>
    <cellStyle name="Normal 4 2 2 3 2 2 2 2 2 3" xfId="12343" xr:uid="{76C24809-A38A-4059-9453-024A4F75AD43}"/>
    <cellStyle name="Normal 4 2 2 3 2 2 2 2 3" xfId="5133" xr:uid="{00000000-0005-0000-0000-0000FA110000}"/>
    <cellStyle name="Normal 4 2 2 3 2 2 2 2 3 2" xfId="14415" xr:uid="{E6F3B542-FA36-4A11-832C-770F5D711EB2}"/>
    <cellStyle name="Normal 4 2 2 3 2 2 2 2 4" xfId="10198" xr:uid="{52EFA5A2-9E27-42D6-A380-2AA4C2F5C3DB}"/>
    <cellStyle name="Normal 4 2 2 3 2 2 2 2 5" xfId="9370" xr:uid="{F219E4A0-B9DA-40F1-BFDD-F7A7709B8F24}"/>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973" xr:uid="{22B096E9-7417-4081-B54C-F6609765CE0A}"/>
    <cellStyle name="Normal 4 2 2 3 2 2 2 3 2 3" xfId="12756" xr:uid="{66E5D61E-D14E-4688-8841-7334243C0CC4}"/>
    <cellStyle name="Normal 4 2 2 3 2 2 2 3 3" xfId="5546" xr:uid="{00000000-0005-0000-0000-0000FE110000}"/>
    <cellStyle name="Normal 4 2 2 3 2 2 2 3 3 2" xfId="14828" xr:uid="{C0B6DFF1-1F37-4187-BF60-A1DD5B0058C7}"/>
    <cellStyle name="Normal 4 2 2 3 2 2 2 3 4" xfId="10611" xr:uid="{C784B3F1-7558-4616-8A0B-596B98866CE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386" xr:uid="{A08F9C0F-ED79-4FF0-9599-DA8CF5630C71}"/>
    <cellStyle name="Normal 4 2 2 3 2 2 2 4 2 3" xfId="13169" xr:uid="{55E6FC30-C356-4320-8AFB-38514236A952}"/>
    <cellStyle name="Normal 4 2 2 3 2 2 2 4 3" xfId="5959" xr:uid="{00000000-0005-0000-0000-000002120000}"/>
    <cellStyle name="Normal 4 2 2 3 2 2 2 4 3 2" xfId="15241" xr:uid="{25BB4F93-1A26-4599-A9D4-71866B638FEE}"/>
    <cellStyle name="Normal 4 2 2 3 2 2 2 4 4" xfId="11024" xr:uid="{6DCE6BF0-26BA-40F2-9B7A-CD909127E3A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799" xr:uid="{7F6970E9-787C-4040-AE85-E6D8E235843D}"/>
    <cellStyle name="Normal 4 2 2 3 2 2 2 5 2 3" xfId="13582" xr:uid="{0D39AD62-E43F-4C62-B926-A487C532CEB5}"/>
    <cellStyle name="Normal 4 2 2 3 2 2 2 5 3" xfId="6372" xr:uid="{00000000-0005-0000-0000-000006120000}"/>
    <cellStyle name="Normal 4 2 2 3 2 2 2 5 3 2" xfId="15654" xr:uid="{4688EA57-157A-4EDF-A7A2-DBF6EC7F36F1}"/>
    <cellStyle name="Normal 4 2 2 3 2 2 2 5 4" xfId="11437" xr:uid="{2C6E8F54-B593-467C-A850-B6DFBE351490}"/>
    <cellStyle name="Normal 4 2 2 3 2 2 2 6" xfId="2502" xr:uid="{00000000-0005-0000-0000-000007120000}"/>
    <cellStyle name="Normal 4 2 2 3 2 2 2 6 2" xfId="6785" xr:uid="{00000000-0005-0000-0000-000008120000}"/>
    <cellStyle name="Normal 4 2 2 3 2 2 2 6 2 2" xfId="16067" xr:uid="{67095DE8-9B80-4AAB-9FD9-3AB0C7B57579}"/>
    <cellStyle name="Normal 4 2 2 3 2 2 2 6 3" xfId="11850" xr:uid="{431011AC-B143-4AC3-AF5D-D66691FA27A8}"/>
    <cellStyle name="Normal 4 2 2 3 2 2 2 7" xfId="4720" xr:uid="{00000000-0005-0000-0000-000009120000}"/>
    <cellStyle name="Normal 4 2 2 3 2 2 2 7 2" xfId="14002" xr:uid="{D133A481-2BC8-4859-BA0A-A7B52343C9CD}"/>
    <cellStyle name="Normal 4 2 2 3 2 2 2 8" xfId="9785" xr:uid="{BD7EF2E5-FD12-47CD-854A-B1AF81463A91}"/>
    <cellStyle name="Normal 4 2 2 3 2 2 2 9" xfId="8951" xr:uid="{B4436797-C4C7-4C07-841F-8B08FF56732C}"/>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559" xr:uid="{EF4F2456-2939-4823-A562-3A3405AA4DBF}"/>
    <cellStyle name="Normal 4 2 2 3 2 2 3 2 3" xfId="12342" xr:uid="{77BB0B5C-26D2-4B6A-AE4A-4B2518E16C2E}"/>
    <cellStyle name="Normal 4 2 2 3 2 2 3 3" xfId="5132" xr:uid="{00000000-0005-0000-0000-00000D120000}"/>
    <cellStyle name="Normal 4 2 2 3 2 2 3 3 2" xfId="14414" xr:uid="{32918AF6-5A2C-4A76-B6A8-8D9547973CDC}"/>
    <cellStyle name="Normal 4 2 2 3 2 2 3 4" xfId="10197" xr:uid="{98348695-B3CA-4A8B-ABAF-1B488B6D34AE}"/>
    <cellStyle name="Normal 4 2 2 3 2 2 3 5" xfId="9369" xr:uid="{FB9F5E91-8F0F-4B75-80C0-1A9E284E0F0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972" xr:uid="{64493AB3-A547-4D27-AA6A-6764A8A56AC5}"/>
    <cellStyle name="Normal 4 2 2 3 2 2 4 2 3" xfId="12755" xr:uid="{5BD414DB-559E-4055-9F5E-F68575F70732}"/>
    <cellStyle name="Normal 4 2 2 3 2 2 4 3" xfId="5545" xr:uid="{00000000-0005-0000-0000-000011120000}"/>
    <cellStyle name="Normal 4 2 2 3 2 2 4 3 2" xfId="14827" xr:uid="{CC2E765B-143A-431C-86A8-0995B1827C9C}"/>
    <cellStyle name="Normal 4 2 2 3 2 2 4 4" xfId="10610" xr:uid="{E6B8E09B-BECF-40D2-91DF-8C983093A94C}"/>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385" xr:uid="{762D2538-B4FC-4F6A-97CD-DA44F8F64527}"/>
    <cellStyle name="Normal 4 2 2 3 2 2 5 2 3" xfId="13168" xr:uid="{7DE2D621-F6AB-4D31-A012-F7AA890E197E}"/>
    <cellStyle name="Normal 4 2 2 3 2 2 5 3" xfId="5958" xr:uid="{00000000-0005-0000-0000-000015120000}"/>
    <cellStyle name="Normal 4 2 2 3 2 2 5 3 2" xfId="15240" xr:uid="{F7E1B8BB-F079-41EA-86A0-3888650C042F}"/>
    <cellStyle name="Normal 4 2 2 3 2 2 5 4" xfId="11023" xr:uid="{086AE27D-20B1-48FD-998C-33ED9D36C65A}"/>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798" xr:uid="{C1250BC5-DD9C-48F4-908A-AB9EEC2FB0C9}"/>
    <cellStyle name="Normal 4 2 2 3 2 2 6 2 3" xfId="13581" xr:uid="{434DF275-342F-4CDA-84CA-FA625AC4B33E}"/>
    <cellStyle name="Normal 4 2 2 3 2 2 6 3" xfId="6371" xr:uid="{00000000-0005-0000-0000-000019120000}"/>
    <cellStyle name="Normal 4 2 2 3 2 2 6 3 2" xfId="15653" xr:uid="{A7937AFF-DE18-4CD7-84AD-D502281E1BBD}"/>
    <cellStyle name="Normal 4 2 2 3 2 2 6 4" xfId="11436" xr:uid="{4163EB3B-27FE-4C95-A252-E458536D7798}"/>
    <cellStyle name="Normal 4 2 2 3 2 2 7" xfId="2501" xr:uid="{00000000-0005-0000-0000-00001A120000}"/>
    <cellStyle name="Normal 4 2 2 3 2 2 7 2" xfId="6784" xr:uid="{00000000-0005-0000-0000-00001B120000}"/>
    <cellStyle name="Normal 4 2 2 3 2 2 7 2 2" xfId="16066" xr:uid="{FDAB5011-CDBC-4F50-B0C7-C057458C9ED7}"/>
    <cellStyle name="Normal 4 2 2 3 2 2 7 3" xfId="11849" xr:uid="{A9EACC84-20DC-444F-A6EC-3430E61B01CE}"/>
    <cellStyle name="Normal 4 2 2 3 2 2 8" xfId="4719" xr:uid="{00000000-0005-0000-0000-00001C120000}"/>
    <cellStyle name="Normal 4 2 2 3 2 2 8 2" xfId="14001" xr:uid="{1AB92B92-90E8-4D54-94B1-68D6395081F4}"/>
    <cellStyle name="Normal 4 2 2 3 2 2 9" xfId="9784" xr:uid="{6180C283-B5CF-4A00-B4A8-CC24897EE2D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561" xr:uid="{87E759EF-BF74-40C2-81C6-0BACA412C540}"/>
    <cellStyle name="Normal 4 2 2 3 2 3 2 2 3" xfId="12344" xr:uid="{020D5254-1E6F-427B-A72B-C5A280DC6517}"/>
    <cellStyle name="Normal 4 2 2 3 2 3 2 3" xfId="5134" xr:uid="{00000000-0005-0000-0000-000021120000}"/>
    <cellStyle name="Normal 4 2 2 3 2 3 2 3 2" xfId="14416" xr:uid="{3271A9B9-A3BF-4021-A589-08B5850BA7C4}"/>
    <cellStyle name="Normal 4 2 2 3 2 3 2 4" xfId="10199" xr:uid="{8AB4E422-9E7E-49F2-99DF-916DAE5B7902}"/>
    <cellStyle name="Normal 4 2 2 3 2 3 2 5" xfId="9371" xr:uid="{FF8A6B8D-11C7-40B5-8946-1604A0ED5AFB}"/>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974" xr:uid="{5DCD2BE2-C9D6-478A-A7E8-D1C5BCA860A5}"/>
    <cellStyle name="Normal 4 2 2 3 2 3 3 2 3" xfId="12757" xr:uid="{80126305-2521-4DA8-A638-2F6F14BB00FF}"/>
    <cellStyle name="Normal 4 2 2 3 2 3 3 3" xfId="5547" xr:uid="{00000000-0005-0000-0000-000025120000}"/>
    <cellStyle name="Normal 4 2 2 3 2 3 3 3 2" xfId="14829" xr:uid="{A653A2ED-F37F-4E6C-94AE-3F0DA7FF346F}"/>
    <cellStyle name="Normal 4 2 2 3 2 3 3 4" xfId="10612" xr:uid="{2EEB360C-D608-4B63-A275-48F2EF54F2D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387" xr:uid="{392CA94C-750F-4062-AD1C-2044E48C5446}"/>
    <cellStyle name="Normal 4 2 2 3 2 3 4 2 3" xfId="13170" xr:uid="{1C83CCC8-F054-47CD-9F88-38B472B7CC1D}"/>
    <cellStyle name="Normal 4 2 2 3 2 3 4 3" xfId="5960" xr:uid="{00000000-0005-0000-0000-000029120000}"/>
    <cellStyle name="Normal 4 2 2 3 2 3 4 3 2" xfId="15242" xr:uid="{9E755156-1734-4291-BBAD-A054E0FECBF3}"/>
    <cellStyle name="Normal 4 2 2 3 2 3 4 4" xfId="11025" xr:uid="{8011F54F-8FF5-4801-81E8-6D580A253FF3}"/>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00" xr:uid="{FEE7754A-B1E4-43B0-993C-7EC7DA863DE8}"/>
    <cellStyle name="Normal 4 2 2 3 2 3 5 2 3" xfId="13583" xr:uid="{8E98F415-7B56-467E-B0F8-2364BE4FEC01}"/>
    <cellStyle name="Normal 4 2 2 3 2 3 5 3" xfId="6373" xr:uid="{00000000-0005-0000-0000-00002D120000}"/>
    <cellStyle name="Normal 4 2 2 3 2 3 5 3 2" xfId="15655" xr:uid="{00526F78-E807-4E7B-A80F-6E3DCF6BF2B3}"/>
    <cellStyle name="Normal 4 2 2 3 2 3 5 4" xfId="11438" xr:uid="{AA559359-492E-4AA5-A4C4-2F71B06E8173}"/>
    <cellStyle name="Normal 4 2 2 3 2 3 6" xfId="2503" xr:uid="{00000000-0005-0000-0000-00002E120000}"/>
    <cellStyle name="Normal 4 2 2 3 2 3 6 2" xfId="6786" xr:uid="{00000000-0005-0000-0000-00002F120000}"/>
    <cellStyle name="Normal 4 2 2 3 2 3 6 2 2" xfId="16068" xr:uid="{DDD53E7D-FD8D-42BA-A007-DCF3E93CBC55}"/>
    <cellStyle name="Normal 4 2 2 3 2 3 6 3" xfId="11851" xr:uid="{6000AFD9-AF53-4AA8-A62A-D390BAE1FDCF}"/>
    <cellStyle name="Normal 4 2 2 3 2 3 7" xfId="4721" xr:uid="{00000000-0005-0000-0000-000030120000}"/>
    <cellStyle name="Normal 4 2 2 3 2 3 7 2" xfId="14003" xr:uid="{3B13FA28-2272-4EE5-900C-A1858D6B7A34}"/>
    <cellStyle name="Normal 4 2 2 3 2 3 8" xfId="9786" xr:uid="{143EFE5E-5C6E-4F30-B0DA-49E5826F34C7}"/>
    <cellStyle name="Normal 4 2 2 3 2 3 9" xfId="8952" xr:uid="{5EC9F115-4953-4990-95CA-4AC5A9017FAA}"/>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558" xr:uid="{539EBB6E-44A8-45A9-B7C2-2F5BCE7FE8B7}"/>
    <cellStyle name="Normal 4 2 2 3 2 4 2 3" xfId="12341" xr:uid="{D81C4BF9-C794-4D6C-884A-471E13E3DD73}"/>
    <cellStyle name="Normal 4 2 2 3 2 4 3" xfId="5131" xr:uid="{00000000-0005-0000-0000-000034120000}"/>
    <cellStyle name="Normal 4 2 2 3 2 4 3 2" xfId="14413" xr:uid="{55FF8475-3066-4528-93F2-5D277C14F9D5}"/>
    <cellStyle name="Normal 4 2 2 3 2 4 4" xfId="10196" xr:uid="{07CFE4AF-A9DD-42FD-AB7E-16ACCA0C9537}"/>
    <cellStyle name="Normal 4 2 2 3 2 4 5" xfId="9368" xr:uid="{B63C1F9C-304B-43B1-9135-B1CB167D5AB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971" xr:uid="{8BEE0718-528F-439D-9CA6-EFCAB21F5C3C}"/>
    <cellStyle name="Normal 4 2 2 3 2 5 2 3" xfId="12754" xr:uid="{C08FA679-67B3-4E1A-8A4E-1D12E4363F09}"/>
    <cellStyle name="Normal 4 2 2 3 2 5 3" xfId="5544" xr:uid="{00000000-0005-0000-0000-000038120000}"/>
    <cellStyle name="Normal 4 2 2 3 2 5 3 2" xfId="14826" xr:uid="{135EC6B5-67E8-4EF1-A1AC-8EE30560C2BF}"/>
    <cellStyle name="Normal 4 2 2 3 2 5 4" xfId="10609" xr:uid="{6F5E7167-7ED9-4AE1-B2A2-4AD126AB5E8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384" xr:uid="{BDF11400-596D-439E-9E15-CCBB9030AC4A}"/>
    <cellStyle name="Normal 4 2 2 3 2 6 2 3" xfId="13167" xr:uid="{24003A1F-5514-422A-9364-F9944DF65A8D}"/>
    <cellStyle name="Normal 4 2 2 3 2 6 3" xfId="5957" xr:uid="{00000000-0005-0000-0000-00003C120000}"/>
    <cellStyle name="Normal 4 2 2 3 2 6 3 2" xfId="15239" xr:uid="{2460BEB7-D1C4-435A-B795-733A8E186775}"/>
    <cellStyle name="Normal 4 2 2 3 2 6 4" xfId="11022" xr:uid="{D80DE813-F06C-4362-907C-7598B4E9F11A}"/>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797" xr:uid="{55E1D712-1CEE-4A86-BB7B-55C642FAD83E}"/>
    <cellStyle name="Normal 4 2 2 3 2 7 2 3" xfId="13580" xr:uid="{4106C2DE-24E7-4BF3-8E1D-09E9297CFE2A}"/>
    <cellStyle name="Normal 4 2 2 3 2 7 3" xfId="6370" xr:uid="{00000000-0005-0000-0000-000040120000}"/>
    <cellStyle name="Normal 4 2 2 3 2 7 3 2" xfId="15652" xr:uid="{2A214EF9-B1C4-49E5-9FD4-6A8B2AAA35F4}"/>
    <cellStyle name="Normal 4 2 2 3 2 7 4" xfId="11435" xr:uid="{6D741162-D055-49ED-8407-DC17271A1695}"/>
    <cellStyle name="Normal 4 2 2 3 2 8" xfId="2500" xr:uid="{00000000-0005-0000-0000-000041120000}"/>
    <cellStyle name="Normal 4 2 2 3 2 8 2" xfId="6783" xr:uid="{00000000-0005-0000-0000-000042120000}"/>
    <cellStyle name="Normal 4 2 2 3 2 8 2 2" xfId="16065" xr:uid="{1FDBB63F-9523-4C0E-A94D-F499AED5B804}"/>
    <cellStyle name="Normal 4 2 2 3 2 8 3" xfId="11848" xr:uid="{49511D8E-9B5C-42B4-A071-03A8746965DA}"/>
    <cellStyle name="Normal 4 2 2 3 2 9" xfId="4718" xr:uid="{00000000-0005-0000-0000-000043120000}"/>
    <cellStyle name="Normal 4 2 2 3 2 9 2" xfId="14000" xr:uid="{A852028E-56A0-4316-BD26-FC991B85EB8A}"/>
    <cellStyle name="Normal 4 2 2 3 3" xfId="344" xr:uid="{00000000-0005-0000-0000-000044120000}"/>
    <cellStyle name="Normal 4 2 2 3 3 10" xfId="8953" xr:uid="{D5FFE7F7-5968-4D61-B772-9B8D510BCBF8}"/>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563" xr:uid="{F615A84F-1C5E-4BCC-8171-4823C5FB6A5D}"/>
    <cellStyle name="Normal 4 2 2 3 3 2 2 2 3" xfId="12346" xr:uid="{28F62534-3BC3-4CC3-8BFD-2BABABBF3ADD}"/>
    <cellStyle name="Normal 4 2 2 3 3 2 2 3" xfId="5136" xr:uid="{00000000-0005-0000-0000-000049120000}"/>
    <cellStyle name="Normal 4 2 2 3 3 2 2 3 2" xfId="14418" xr:uid="{68A580DE-6827-4143-B033-C7F7728A77A6}"/>
    <cellStyle name="Normal 4 2 2 3 3 2 2 4" xfId="10201" xr:uid="{0E93E574-D614-4E2D-82B7-3B6B08F9E5F3}"/>
    <cellStyle name="Normal 4 2 2 3 3 2 2 5" xfId="9373" xr:uid="{027FDE77-5B9D-4843-B2BD-B98841CB0F0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976" xr:uid="{ABE27904-01B0-40C0-8833-EDB28E5B8661}"/>
    <cellStyle name="Normal 4 2 2 3 3 2 3 2 3" xfId="12759" xr:uid="{DE3AAFCA-8FFC-4FE5-866B-65736C0BA1EE}"/>
    <cellStyle name="Normal 4 2 2 3 3 2 3 3" xfId="5549" xr:uid="{00000000-0005-0000-0000-00004D120000}"/>
    <cellStyle name="Normal 4 2 2 3 3 2 3 3 2" xfId="14831" xr:uid="{A41A2EA8-541C-4A74-8554-8C87DCB80103}"/>
    <cellStyle name="Normal 4 2 2 3 3 2 3 4" xfId="10614" xr:uid="{B59F92A6-65BE-43B4-956D-36AAE3377E83}"/>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389" xr:uid="{779B457A-C749-4123-8D80-CF664FAF4E18}"/>
    <cellStyle name="Normal 4 2 2 3 3 2 4 2 3" xfId="13172" xr:uid="{54B691C9-2A79-42B4-BAE9-9BE06F373910}"/>
    <cellStyle name="Normal 4 2 2 3 3 2 4 3" xfId="5962" xr:uid="{00000000-0005-0000-0000-000051120000}"/>
    <cellStyle name="Normal 4 2 2 3 3 2 4 3 2" xfId="15244" xr:uid="{946AD83D-D296-4105-AF3F-DBABD9B89245}"/>
    <cellStyle name="Normal 4 2 2 3 3 2 4 4" xfId="11027" xr:uid="{9AF5CC71-59E8-49B3-8BB1-28EBFDC046E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02" xr:uid="{446D3A15-E137-4F24-BC84-16F200F8D687}"/>
    <cellStyle name="Normal 4 2 2 3 3 2 5 2 3" xfId="13585" xr:uid="{E8F68DBD-7780-43E1-A1A7-BB1628FE918A}"/>
    <cellStyle name="Normal 4 2 2 3 3 2 5 3" xfId="6375" xr:uid="{00000000-0005-0000-0000-000055120000}"/>
    <cellStyle name="Normal 4 2 2 3 3 2 5 3 2" xfId="15657" xr:uid="{B50503C1-1778-4374-ABF5-FA2C27A73B5B}"/>
    <cellStyle name="Normal 4 2 2 3 3 2 5 4" xfId="11440" xr:uid="{8597F5CA-6230-4217-95E9-41EFBF5FCBD1}"/>
    <cellStyle name="Normal 4 2 2 3 3 2 6" xfId="2505" xr:uid="{00000000-0005-0000-0000-000056120000}"/>
    <cellStyle name="Normal 4 2 2 3 3 2 6 2" xfId="6788" xr:uid="{00000000-0005-0000-0000-000057120000}"/>
    <cellStyle name="Normal 4 2 2 3 3 2 6 2 2" xfId="16070" xr:uid="{BD2C6475-BE2E-4C89-8AA8-7B851F8034F4}"/>
    <cellStyle name="Normal 4 2 2 3 3 2 6 3" xfId="11853" xr:uid="{1A3EE22B-E5EA-4F01-883E-C4B9FACEAFE3}"/>
    <cellStyle name="Normal 4 2 2 3 3 2 7" xfId="4723" xr:uid="{00000000-0005-0000-0000-000058120000}"/>
    <cellStyle name="Normal 4 2 2 3 3 2 7 2" xfId="14005" xr:uid="{7A14EC40-6D61-478B-AB85-BEA91D17F1D0}"/>
    <cellStyle name="Normal 4 2 2 3 3 2 8" xfId="9788" xr:uid="{24090F9A-3197-4C3D-B4F2-DDB6CC3BE585}"/>
    <cellStyle name="Normal 4 2 2 3 3 2 9" xfId="8954" xr:uid="{376A6EB5-9597-43FF-B3CC-E2006BFC922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562" xr:uid="{031C2D5D-702A-46BF-813A-E1581A5A3728}"/>
    <cellStyle name="Normal 4 2 2 3 3 3 2 3" xfId="12345" xr:uid="{192FDE4E-0A36-48E3-93B5-D3FE9A0F1D5C}"/>
    <cellStyle name="Normal 4 2 2 3 3 3 3" xfId="5135" xr:uid="{00000000-0005-0000-0000-00005C120000}"/>
    <cellStyle name="Normal 4 2 2 3 3 3 3 2" xfId="14417" xr:uid="{1B43A986-8460-48C9-8663-67F2BD40E3A3}"/>
    <cellStyle name="Normal 4 2 2 3 3 3 4" xfId="10200" xr:uid="{74D3BC58-765E-4D51-AE44-C0CFB6B9302A}"/>
    <cellStyle name="Normal 4 2 2 3 3 3 5" xfId="9372" xr:uid="{6BBE159D-1B04-4E74-814F-49D9492A963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975" xr:uid="{C6010D1D-A9B3-4DC9-8670-77B5B394C4E6}"/>
    <cellStyle name="Normal 4 2 2 3 3 4 2 3" xfId="12758" xr:uid="{59EF1B3C-0660-41E6-BE33-B304F1E9A57E}"/>
    <cellStyle name="Normal 4 2 2 3 3 4 3" xfId="5548" xr:uid="{00000000-0005-0000-0000-000060120000}"/>
    <cellStyle name="Normal 4 2 2 3 3 4 3 2" xfId="14830" xr:uid="{CD68CC91-F233-494C-95B9-FFB065863509}"/>
    <cellStyle name="Normal 4 2 2 3 3 4 4" xfId="10613" xr:uid="{98A34E89-CEFB-4BCC-BDD1-D03C2FBCFFEE}"/>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388" xr:uid="{2DE8DEF9-DDE1-4671-BBD2-E5BCCB622490}"/>
    <cellStyle name="Normal 4 2 2 3 3 5 2 3" xfId="13171" xr:uid="{D92B26DE-8FB0-4B9B-813D-3264CA3D30C1}"/>
    <cellStyle name="Normal 4 2 2 3 3 5 3" xfId="5961" xr:uid="{00000000-0005-0000-0000-000064120000}"/>
    <cellStyle name="Normal 4 2 2 3 3 5 3 2" xfId="15243" xr:uid="{C5E0E440-2A3E-493B-BD7E-0BC1B91A0B89}"/>
    <cellStyle name="Normal 4 2 2 3 3 5 4" xfId="11026" xr:uid="{C1A74DAB-D3ED-41F8-9EB1-C2EAE66C6729}"/>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01" xr:uid="{992ABAB4-E302-4308-B8C3-37BE9B605AC7}"/>
    <cellStyle name="Normal 4 2 2 3 3 6 2 3" xfId="13584" xr:uid="{970EFE26-385F-44FD-BC22-B345C5B4CF44}"/>
    <cellStyle name="Normal 4 2 2 3 3 6 3" xfId="6374" xr:uid="{00000000-0005-0000-0000-000068120000}"/>
    <cellStyle name="Normal 4 2 2 3 3 6 3 2" xfId="15656" xr:uid="{95D6EC61-B880-4F40-B94F-D4B2960C2AB3}"/>
    <cellStyle name="Normal 4 2 2 3 3 6 4" xfId="11439" xr:uid="{568B3266-BAB2-42E5-829C-98E870409ED1}"/>
    <cellStyle name="Normal 4 2 2 3 3 7" xfId="2504" xr:uid="{00000000-0005-0000-0000-000069120000}"/>
    <cellStyle name="Normal 4 2 2 3 3 7 2" xfId="6787" xr:uid="{00000000-0005-0000-0000-00006A120000}"/>
    <cellStyle name="Normal 4 2 2 3 3 7 2 2" xfId="16069" xr:uid="{0D9812DB-1DEE-4F54-A57A-86ADCBAA9830}"/>
    <cellStyle name="Normal 4 2 2 3 3 7 3" xfId="11852" xr:uid="{217C0D79-28F0-4861-9A15-96852B92D731}"/>
    <cellStyle name="Normal 4 2 2 3 3 8" xfId="4722" xr:uid="{00000000-0005-0000-0000-00006B120000}"/>
    <cellStyle name="Normal 4 2 2 3 3 8 2" xfId="14004" xr:uid="{F2BB8D36-FF94-4C9C-B4A5-A0A5F9C7037A}"/>
    <cellStyle name="Normal 4 2 2 3 3 9" xfId="9787" xr:uid="{A871CE3E-D322-41A3-88B3-354C0F2EFC0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564" xr:uid="{6DB4EAEC-2255-4E54-AFC7-FBF53998D6EC}"/>
    <cellStyle name="Normal 4 2 2 3 4 2 2 3" xfId="12347" xr:uid="{9A78EA6E-CB32-4444-B7C5-5FF00D851AB8}"/>
    <cellStyle name="Normal 4 2 2 3 4 2 3" xfId="5137" xr:uid="{00000000-0005-0000-0000-000070120000}"/>
    <cellStyle name="Normal 4 2 2 3 4 2 3 2" xfId="14419" xr:uid="{427F706D-7002-45A6-A322-D77DE377B9B9}"/>
    <cellStyle name="Normal 4 2 2 3 4 2 4" xfId="10202" xr:uid="{F554AFE9-E8BF-42D9-B4D7-816BB0C44505}"/>
    <cellStyle name="Normal 4 2 2 3 4 2 5" xfId="9374" xr:uid="{DF4D9860-A1D0-4F23-8ED7-3BE0A3C3EFD4}"/>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977" xr:uid="{97D07233-884C-483B-B505-EE5F77F4DFED}"/>
    <cellStyle name="Normal 4 2 2 3 4 3 2 3" xfId="12760" xr:uid="{E2A9797B-7545-4DF5-8B08-61A662358C04}"/>
    <cellStyle name="Normal 4 2 2 3 4 3 3" xfId="5550" xr:uid="{00000000-0005-0000-0000-000074120000}"/>
    <cellStyle name="Normal 4 2 2 3 4 3 3 2" xfId="14832" xr:uid="{88C99152-BD15-497D-89C0-D6BFA776CF46}"/>
    <cellStyle name="Normal 4 2 2 3 4 3 4" xfId="10615" xr:uid="{3F67C225-2A51-4735-A7FB-34946FD1F9A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390" xr:uid="{84127F4B-77D5-44ED-9A64-54E77AA15638}"/>
    <cellStyle name="Normal 4 2 2 3 4 4 2 3" xfId="13173" xr:uid="{D8494679-32AE-4106-B573-0411CC31F01F}"/>
    <cellStyle name="Normal 4 2 2 3 4 4 3" xfId="5963" xr:uid="{00000000-0005-0000-0000-000078120000}"/>
    <cellStyle name="Normal 4 2 2 3 4 4 3 2" xfId="15245" xr:uid="{D0A1F545-0286-4868-8B36-D63C0A4F44AC}"/>
    <cellStyle name="Normal 4 2 2 3 4 4 4" xfId="11028" xr:uid="{88BED865-96F2-4D61-8C55-3746B3846CA5}"/>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03" xr:uid="{7B050774-497C-40E1-9204-EDFAC3568A3C}"/>
    <cellStyle name="Normal 4 2 2 3 4 5 2 3" xfId="13586" xr:uid="{6BED2E1A-5AC0-4137-A34D-F3BC43EE4D5C}"/>
    <cellStyle name="Normal 4 2 2 3 4 5 3" xfId="6376" xr:uid="{00000000-0005-0000-0000-00007C120000}"/>
    <cellStyle name="Normal 4 2 2 3 4 5 3 2" xfId="15658" xr:uid="{111A2AF8-DD4B-4738-B4E1-D6833A845734}"/>
    <cellStyle name="Normal 4 2 2 3 4 5 4" xfId="11441" xr:uid="{2D0528EC-733B-427E-8CBE-D4F7C718B81B}"/>
    <cellStyle name="Normal 4 2 2 3 4 6" xfId="2506" xr:uid="{00000000-0005-0000-0000-00007D120000}"/>
    <cellStyle name="Normal 4 2 2 3 4 6 2" xfId="6789" xr:uid="{00000000-0005-0000-0000-00007E120000}"/>
    <cellStyle name="Normal 4 2 2 3 4 6 2 2" xfId="16071" xr:uid="{9CEE435B-0D47-4D7D-9A8E-592FA09298C8}"/>
    <cellStyle name="Normal 4 2 2 3 4 6 3" xfId="11854" xr:uid="{5255481B-0752-43C2-AABA-F967F3265AFC}"/>
    <cellStyle name="Normal 4 2 2 3 4 7" xfId="4724" xr:uid="{00000000-0005-0000-0000-00007F120000}"/>
    <cellStyle name="Normal 4 2 2 3 4 7 2" xfId="14006" xr:uid="{5C3F9104-EF43-4BCF-B7ED-1F947492BD8D}"/>
    <cellStyle name="Normal 4 2 2 3 4 8" xfId="9789" xr:uid="{66364808-A4F0-4FFF-BA68-C7A005513862}"/>
    <cellStyle name="Normal 4 2 2 3 4 9" xfId="8955" xr:uid="{947CB0FC-DB91-4614-9F59-05CB9FFBE3B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557" xr:uid="{2F6C376C-1EBB-46C4-AA42-9FFB24946666}"/>
    <cellStyle name="Normal 4 2 2 3 5 2 3" xfId="12340" xr:uid="{19BBF048-6636-4376-B6BA-29DFB8242571}"/>
    <cellStyle name="Normal 4 2 2 3 5 3" xfId="5130" xr:uid="{00000000-0005-0000-0000-000083120000}"/>
    <cellStyle name="Normal 4 2 2 3 5 3 2" xfId="14412" xr:uid="{5B49177B-56DF-45F0-9AC9-FD1BC5DCFD00}"/>
    <cellStyle name="Normal 4 2 2 3 5 4" xfId="10195" xr:uid="{82A0E80F-0FC9-46E0-A1BB-91F371D07CCC}"/>
    <cellStyle name="Normal 4 2 2 3 5 5" xfId="9367" xr:uid="{AC9DA45B-302E-469C-9FDA-6FE0730D6C52}"/>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970" xr:uid="{AB0DEAD6-50E3-4E36-A404-C8824CC07FF2}"/>
    <cellStyle name="Normal 4 2 2 3 6 2 3" xfId="12753" xr:uid="{B3320FE7-DDB9-4DF0-9CEB-9E5FB6A339FD}"/>
    <cellStyle name="Normal 4 2 2 3 6 3" xfId="5543" xr:uid="{00000000-0005-0000-0000-000087120000}"/>
    <cellStyle name="Normal 4 2 2 3 6 3 2" xfId="14825" xr:uid="{88E0B07F-8262-45DF-88DC-9C56DC6E4637}"/>
    <cellStyle name="Normal 4 2 2 3 6 4" xfId="10608" xr:uid="{6D660C37-6434-4E4F-9133-57552CA401F1}"/>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383" xr:uid="{91E8FB89-E78F-46CB-9CA9-1517ABD93F50}"/>
    <cellStyle name="Normal 4 2 2 3 7 2 3" xfId="13166" xr:uid="{AFE8CD50-9452-4B33-917A-3FD9AC5DE4C1}"/>
    <cellStyle name="Normal 4 2 2 3 7 3" xfId="5956" xr:uid="{00000000-0005-0000-0000-00008B120000}"/>
    <cellStyle name="Normal 4 2 2 3 7 3 2" xfId="15238" xr:uid="{E2BC16F2-662D-4814-A2BB-EC14066AE921}"/>
    <cellStyle name="Normal 4 2 2 3 7 4" xfId="11021" xr:uid="{50F4DD62-42BE-47BB-97A0-56FFFDEE7725}"/>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796" xr:uid="{041BD303-1999-4CBC-B802-05B34F0E9E00}"/>
    <cellStyle name="Normal 4 2 2 3 8 2 3" xfId="13579" xr:uid="{D7C0263A-5A8D-4AB7-BA16-872353BE2650}"/>
    <cellStyle name="Normal 4 2 2 3 8 3" xfId="6369" xr:uid="{00000000-0005-0000-0000-00008F120000}"/>
    <cellStyle name="Normal 4 2 2 3 8 3 2" xfId="15651" xr:uid="{EC59C758-0187-4136-B699-83049E8FA5C0}"/>
    <cellStyle name="Normal 4 2 2 3 8 4" xfId="11434" xr:uid="{12E40016-DFE0-41A2-B357-BC246F65044C}"/>
    <cellStyle name="Normal 4 2 2 3 9" xfId="2499" xr:uid="{00000000-0005-0000-0000-000090120000}"/>
    <cellStyle name="Normal 4 2 2 3 9 2" xfId="6782" xr:uid="{00000000-0005-0000-0000-000091120000}"/>
    <cellStyle name="Normal 4 2 2 3 9 2 2" xfId="16064" xr:uid="{BD5FEF44-F569-48F1-BA8B-0C5B9D042993}"/>
    <cellStyle name="Normal 4 2 2 3 9 3" xfId="11847" xr:uid="{69AFC991-AF63-4578-A30F-5B0B1ED5C16B}"/>
    <cellStyle name="Normal 4 2 2 4" xfId="347" xr:uid="{00000000-0005-0000-0000-000092120000}"/>
    <cellStyle name="Normal 4 2 2 4 10" xfId="9790" xr:uid="{BDE3F707-B4BD-4E74-A91E-501C1C1CE9AA}"/>
    <cellStyle name="Normal 4 2 2 4 11" xfId="8956" xr:uid="{5E488A5C-0E57-48F8-BC76-1DA09A1534A2}"/>
    <cellStyle name="Normal 4 2 2 4 2" xfId="348" xr:uid="{00000000-0005-0000-0000-000093120000}"/>
    <cellStyle name="Normal 4 2 2 4 2 10" xfId="8957" xr:uid="{E6D7527E-D54A-4B11-B50A-97606D3E35D3}"/>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567" xr:uid="{0BC7D3CD-0ABC-4A9E-9A91-BC46DFD81587}"/>
    <cellStyle name="Normal 4 2 2 4 2 2 2 2 3" xfId="12350" xr:uid="{2DBE94DE-4BCD-4E90-9D51-0E5DC7AF8F7D}"/>
    <cellStyle name="Normal 4 2 2 4 2 2 2 3" xfId="5140" xr:uid="{00000000-0005-0000-0000-000098120000}"/>
    <cellStyle name="Normal 4 2 2 4 2 2 2 3 2" xfId="14422" xr:uid="{3DCE5E58-0486-4C43-BF75-7CC8EE44061B}"/>
    <cellStyle name="Normal 4 2 2 4 2 2 2 4" xfId="10205" xr:uid="{69DCBE06-8CE1-494D-9990-965080125248}"/>
    <cellStyle name="Normal 4 2 2 4 2 2 2 5" xfId="9377" xr:uid="{14011094-EBDD-442A-970B-923D7C83406F}"/>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980" xr:uid="{B11B1579-29C6-42C9-A865-5FB66D392B58}"/>
    <cellStyle name="Normal 4 2 2 4 2 2 3 2 3" xfId="12763" xr:uid="{AF60461E-6702-4A5D-8501-860D430C2DCD}"/>
    <cellStyle name="Normal 4 2 2 4 2 2 3 3" xfId="5553" xr:uid="{00000000-0005-0000-0000-00009C120000}"/>
    <cellStyle name="Normal 4 2 2 4 2 2 3 3 2" xfId="14835" xr:uid="{25FE14ED-CF0F-4DA4-9BE0-C7EBDAAC7E3A}"/>
    <cellStyle name="Normal 4 2 2 4 2 2 3 4" xfId="10618" xr:uid="{9C2751BC-A121-4DF1-BB55-291052EB8CF8}"/>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393" xr:uid="{746160B6-706C-485D-8B5E-3C57D152D428}"/>
    <cellStyle name="Normal 4 2 2 4 2 2 4 2 3" xfId="13176" xr:uid="{F3CC90D1-203F-4D2F-A7F5-D91B42754E7A}"/>
    <cellStyle name="Normal 4 2 2 4 2 2 4 3" xfId="5966" xr:uid="{00000000-0005-0000-0000-0000A0120000}"/>
    <cellStyle name="Normal 4 2 2 4 2 2 4 3 2" xfId="15248" xr:uid="{3B11EF5E-F603-428C-969C-8111A91107F6}"/>
    <cellStyle name="Normal 4 2 2 4 2 2 4 4" xfId="11031" xr:uid="{0C3FAA5D-1060-4C04-B11A-FA8991BC8C5B}"/>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06" xr:uid="{47B2C14A-C159-426C-971A-3463D7596E29}"/>
    <cellStyle name="Normal 4 2 2 4 2 2 5 2 3" xfId="13589" xr:uid="{19CF9EF4-D556-448F-A35A-4F151AB06707}"/>
    <cellStyle name="Normal 4 2 2 4 2 2 5 3" xfId="6379" xr:uid="{00000000-0005-0000-0000-0000A4120000}"/>
    <cellStyle name="Normal 4 2 2 4 2 2 5 3 2" xfId="15661" xr:uid="{6D52135C-7079-4AA9-8CFE-010A472C91CC}"/>
    <cellStyle name="Normal 4 2 2 4 2 2 5 4" xfId="11444" xr:uid="{FEFF8C6D-62CE-4696-84AA-A906D2BBC425}"/>
    <cellStyle name="Normal 4 2 2 4 2 2 6" xfId="2509" xr:uid="{00000000-0005-0000-0000-0000A5120000}"/>
    <cellStyle name="Normal 4 2 2 4 2 2 6 2" xfId="6792" xr:uid="{00000000-0005-0000-0000-0000A6120000}"/>
    <cellStyle name="Normal 4 2 2 4 2 2 6 2 2" xfId="16074" xr:uid="{05D5C3C2-7E2A-44B3-BECC-CB2CAE0BB2AF}"/>
    <cellStyle name="Normal 4 2 2 4 2 2 6 3" xfId="11857" xr:uid="{2A0FC01D-F9E4-4145-AD4A-8A92209C2033}"/>
    <cellStyle name="Normal 4 2 2 4 2 2 7" xfId="4727" xr:uid="{00000000-0005-0000-0000-0000A7120000}"/>
    <cellStyle name="Normal 4 2 2 4 2 2 7 2" xfId="14009" xr:uid="{C313A6AA-5FF6-4C7C-B259-E26766653C83}"/>
    <cellStyle name="Normal 4 2 2 4 2 2 8" xfId="9792" xr:uid="{2843EDF6-78A6-4823-9802-C110C6F308B5}"/>
    <cellStyle name="Normal 4 2 2 4 2 2 9" xfId="8958" xr:uid="{E9DC0013-C1F2-407B-9E7B-C0861C5E0144}"/>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566" xr:uid="{19A79844-C57A-46F0-AE38-FACAEF6F861A}"/>
    <cellStyle name="Normal 4 2 2 4 2 3 2 3" xfId="12349" xr:uid="{444BE66A-4E95-4C58-8BC1-7A8FB2AE6E0E}"/>
    <cellStyle name="Normal 4 2 2 4 2 3 3" xfId="5139" xr:uid="{00000000-0005-0000-0000-0000AB120000}"/>
    <cellStyle name="Normal 4 2 2 4 2 3 3 2" xfId="14421" xr:uid="{610AF276-E4C1-4CB0-883E-2B6F7FBA07FB}"/>
    <cellStyle name="Normal 4 2 2 4 2 3 4" xfId="10204" xr:uid="{4F22B252-ECA1-4F0D-8247-88C9DE007D97}"/>
    <cellStyle name="Normal 4 2 2 4 2 3 5" xfId="9376" xr:uid="{F56FF63C-1551-4DC7-BF28-D4A20D4C471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979" xr:uid="{F19FAAC6-909C-4BE2-A815-9FE513440DB5}"/>
    <cellStyle name="Normal 4 2 2 4 2 4 2 3" xfId="12762" xr:uid="{06CAE402-8D49-4D0E-AD76-78A7D7AAFFEA}"/>
    <cellStyle name="Normal 4 2 2 4 2 4 3" xfId="5552" xr:uid="{00000000-0005-0000-0000-0000AF120000}"/>
    <cellStyle name="Normal 4 2 2 4 2 4 3 2" xfId="14834" xr:uid="{D5269FD4-D7B5-4518-93DB-36A79B2A5358}"/>
    <cellStyle name="Normal 4 2 2 4 2 4 4" xfId="10617" xr:uid="{0BB79CFF-F89F-49E9-83BC-0F547CF7BF6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392" xr:uid="{6318900B-C50A-468A-A05A-FF1A9E25CD42}"/>
    <cellStyle name="Normal 4 2 2 4 2 5 2 3" xfId="13175" xr:uid="{0BFDF853-49AB-431A-8416-90E87CAC6C5A}"/>
    <cellStyle name="Normal 4 2 2 4 2 5 3" xfId="5965" xr:uid="{00000000-0005-0000-0000-0000B3120000}"/>
    <cellStyle name="Normal 4 2 2 4 2 5 3 2" xfId="15247" xr:uid="{B7C19136-A84B-446A-AF3E-9A648B73814E}"/>
    <cellStyle name="Normal 4 2 2 4 2 5 4" xfId="11030" xr:uid="{8AE61C8F-EB79-42D7-9375-940BDAA94B26}"/>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05" xr:uid="{105F0541-BB64-443E-BA08-39472CBC8B9A}"/>
    <cellStyle name="Normal 4 2 2 4 2 6 2 3" xfId="13588" xr:uid="{123E4575-C370-4FA9-99F9-2447B7CA34F0}"/>
    <cellStyle name="Normal 4 2 2 4 2 6 3" xfId="6378" xr:uid="{00000000-0005-0000-0000-0000B7120000}"/>
    <cellStyle name="Normal 4 2 2 4 2 6 3 2" xfId="15660" xr:uid="{5F697F4E-06A4-4265-B12A-B06604350F2A}"/>
    <cellStyle name="Normal 4 2 2 4 2 6 4" xfId="11443" xr:uid="{55834C8D-E33D-46A9-87BB-6D28577FC410}"/>
    <cellStyle name="Normal 4 2 2 4 2 7" xfId="2508" xr:uid="{00000000-0005-0000-0000-0000B8120000}"/>
    <cellStyle name="Normal 4 2 2 4 2 7 2" xfId="6791" xr:uid="{00000000-0005-0000-0000-0000B9120000}"/>
    <cellStyle name="Normal 4 2 2 4 2 7 2 2" xfId="16073" xr:uid="{98B93658-CD17-4628-B1B5-9A9484208DBB}"/>
    <cellStyle name="Normal 4 2 2 4 2 7 3" xfId="11856" xr:uid="{7FB22ECF-0EE4-4866-A0EF-E6A3F9DEB090}"/>
    <cellStyle name="Normal 4 2 2 4 2 8" xfId="4726" xr:uid="{00000000-0005-0000-0000-0000BA120000}"/>
    <cellStyle name="Normal 4 2 2 4 2 8 2" xfId="14008" xr:uid="{77837F88-3374-45E4-861F-0DA7D435FF6A}"/>
    <cellStyle name="Normal 4 2 2 4 2 9" xfId="9791" xr:uid="{03D56360-A888-44DD-BBF1-D1FC1B61FBB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568" xr:uid="{CFF2B005-832E-474E-88F6-DD358DC7359E}"/>
    <cellStyle name="Normal 4 2 2 4 3 2 2 3" xfId="12351" xr:uid="{E75271B5-2058-4E3D-88AD-456B9D54E4E4}"/>
    <cellStyle name="Normal 4 2 2 4 3 2 3" xfId="5141" xr:uid="{00000000-0005-0000-0000-0000BF120000}"/>
    <cellStyle name="Normal 4 2 2 4 3 2 3 2" xfId="14423" xr:uid="{880D5B0C-9AAC-412E-B04D-08ACA617E448}"/>
    <cellStyle name="Normal 4 2 2 4 3 2 4" xfId="10206" xr:uid="{41E43DFC-436A-49DF-BC72-10A8DAA9D326}"/>
    <cellStyle name="Normal 4 2 2 4 3 2 5" xfId="9378" xr:uid="{17BE4855-60D5-4E46-AB24-3B1723AC830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981" xr:uid="{4CD46819-C7CC-4AE3-9F2B-32A19C08E366}"/>
    <cellStyle name="Normal 4 2 2 4 3 3 2 3" xfId="12764" xr:uid="{11065687-6BC5-4CAC-B435-8742F69AAE27}"/>
    <cellStyle name="Normal 4 2 2 4 3 3 3" xfId="5554" xr:uid="{00000000-0005-0000-0000-0000C3120000}"/>
    <cellStyle name="Normal 4 2 2 4 3 3 3 2" xfId="14836" xr:uid="{F35A072C-7923-48AD-A8D5-8751D33BE583}"/>
    <cellStyle name="Normal 4 2 2 4 3 3 4" xfId="10619" xr:uid="{CE5B8335-E83D-49B0-A862-9B82ADC2D31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394" xr:uid="{8AC1013F-063E-4CFB-AC54-4454BBDADDB3}"/>
    <cellStyle name="Normal 4 2 2 4 3 4 2 3" xfId="13177" xr:uid="{2D8A0DB9-15B5-4537-A31D-F1014627E82B}"/>
    <cellStyle name="Normal 4 2 2 4 3 4 3" xfId="5967" xr:uid="{00000000-0005-0000-0000-0000C7120000}"/>
    <cellStyle name="Normal 4 2 2 4 3 4 3 2" xfId="15249" xr:uid="{FD26AAA6-DF56-4171-9FE6-0C0D319F89D9}"/>
    <cellStyle name="Normal 4 2 2 4 3 4 4" xfId="11032" xr:uid="{14C1AF23-30BA-4A78-B10D-A155A8053F14}"/>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07" xr:uid="{03FA3714-FBA3-4CD0-A8DB-13615CF9CAA9}"/>
    <cellStyle name="Normal 4 2 2 4 3 5 2 3" xfId="13590" xr:uid="{7CF41B89-4CEA-4DA3-9554-C1CE0B2CCF18}"/>
    <cellStyle name="Normal 4 2 2 4 3 5 3" xfId="6380" xr:uid="{00000000-0005-0000-0000-0000CB120000}"/>
    <cellStyle name="Normal 4 2 2 4 3 5 3 2" xfId="15662" xr:uid="{2901F695-A045-4B11-AE02-6FB2064146AD}"/>
    <cellStyle name="Normal 4 2 2 4 3 5 4" xfId="11445" xr:uid="{FC1BB1E7-0C29-4F85-BB5E-C9552EF1B77F}"/>
    <cellStyle name="Normal 4 2 2 4 3 6" xfId="2510" xr:uid="{00000000-0005-0000-0000-0000CC120000}"/>
    <cellStyle name="Normal 4 2 2 4 3 6 2" xfId="6793" xr:uid="{00000000-0005-0000-0000-0000CD120000}"/>
    <cellStyle name="Normal 4 2 2 4 3 6 2 2" xfId="16075" xr:uid="{60D7E1A9-AC32-4E18-8628-AE7A20BDF402}"/>
    <cellStyle name="Normal 4 2 2 4 3 6 3" xfId="11858" xr:uid="{FD39C3CC-6A81-4C17-BFEE-3CFB153C8164}"/>
    <cellStyle name="Normal 4 2 2 4 3 7" xfId="4728" xr:uid="{00000000-0005-0000-0000-0000CE120000}"/>
    <cellStyle name="Normal 4 2 2 4 3 7 2" xfId="14010" xr:uid="{A4EE7262-F41C-453B-858C-7008B31CC5D9}"/>
    <cellStyle name="Normal 4 2 2 4 3 8" xfId="9793" xr:uid="{81FC5543-B660-4387-BDAD-EF8D67A04DEE}"/>
    <cellStyle name="Normal 4 2 2 4 3 9" xfId="8959" xr:uid="{1302F2AD-DF56-42E0-9B28-07D33A9907B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565" xr:uid="{94632F1B-56A5-45F9-975A-C50D4E285DF9}"/>
    <cellStyle name="Normal 4 2 2 4 4 2 3" xfId="12348" xr:uid="{5C5DA3C1-573A-4BDE-AC83-670548C53FE8}"/>
    <cellStyle name="Normal 4 2 2 4 4 3" xfId="5138" xr:uid="{00000000-0005-0000-0000-0000D2120000}"/>
    <cellStyle name="Normal 4 2 2 4 4 3 2" xfId="14420" xr:uid="{086DF6FA-C40E-4292-950A-4E7E58C4AAD3}"/>
    <cellStyle name="Normal 4 2 2 4 4 4" xfId="10203" xr:uid="{54803996-9922-4B5E-AFF5-F390C280FDC5}"/>
    <cellStyle name="Normal 4 2 2 4 4 5" xfId="9375" xr:uid="{462507DA-F6A7-4331-8E54-1B43CB465257}"/>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978" xr:uid="{81CFF504-AB85-495B-920B-3CA252B4D11B}"/>
    <cellStyle name="Normal 4 2 2 4 5 2 3" xfId="12761" xr:uid="{D51265C4-DC3F-4F50-B6AA-70338F0CE31B}"/>
    <cellStyle name="Normal 4 2 2 4 5 3" xfId="5551" xr:uid="{00000000-0005-0000-0000-0000D6120000}"/>
    <cellStyle name="Normal 4 2 2 4 5 3 2" xfId="14833" xr:uid="{B02F5CCB-2821-4DFC-9190-090BAEA95B0E}"/>
    <cellStyle name="Normal 4 2 2 4 5 4" xfId="10616" xr:uid="{C686EEF4-A3E1-40A2-96F1-C6245170C64F}"/>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391" xr:uid="{C17C6A56-5BCB-4BB1-AA5B-A70CD3CDE428}"/>
    <cellStyle name="Normal 4 2 2 4 6 2 3" xfId="13174" xr:uid="{EB429593-05DE-403E-A35A-0F5D3E643311}"/>
    <cellStyle name="Normal 4 2 2 4 6 3" xfId="5964" xr:uid="{00000000-0005-0000-0000-0000DA120000}"/>
    <cellStyle name="Normal 4 2 2 4 6 3 2" xfId="15246" xr:uid="{709BB060-8EC0-4057-8BFA-55CBC1D84D6E}"/>
    <cellStyle name="Normal 4 2 2 4 6 4" xfId="11029" xr:uid="{944A2E94-CF37-43FE-8E90-2879A352CB90}"/>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04" xr:uid="{A52CD623-A974-4714-AF52-C1F43731A2FA}"/>
    <cellStyle name="Normal 4 2 2 4 7 2 3" xfId="13587" xr:uid="{E11CF9CB-2B0A-4926-8F7A-5A833C54E693}"/>
    <cellStyle name="Normal 4 2 2 4 7 3" xfId="6377" xr:uid="{00000000-0005-0000-0000-0000DE120000}"/>
    <cellStyle name="Normal 4 2 2 4 7 3 2" xfId="15659" xr:uid="{20335A13-C5CA-422D-B287-584A491642E8}"/>
    <cellStyle name="Normal 4 2 2 4 7 4" xfId="11442" xr:uid="{C3839589-96E5-4ED5-BEF9-56C754897C63}"/>
    <cellStyle name="Normal 4 2 2 4 8" xfId="2507" xr:uid="{00000000-0005-0000-0000-0000DF120000}"/>
    <cellStyle name="Normal 4 2 2 4 8 2" xfId="6790" xr:uid="{00000000-0005-0000-0000-0000E0120000}"/>
    <cellStyle name="Normal 4 2 2 4 8 2 2" xfId="16072" xr:uid="{0C910953-BE55-4657-BD3F-68DD4A329EA8}"/>
    <cellStyle name="Normal 4 2 2 4 8 3" xfId="11855" xr:uid="{AB8DF993-6BCF-463B-8FB6-0D6282894BC7}"/>
    <cellStyle name="Normal 4 2 2 4 9" xfId="4725" xr:uid="{00000000-0005-0000-0000-0000E1120000}"/>
    <cellStyle name="Normal 4 2 2 4 9 2" xfId="14007" xr:uid="{CF7B35DB-439C-413C-80A8-BFCC52D3276E}"/>
    <cellStyle name="Normal 4 2 2 5" xfId="351" xr:uid="{00000000-0005-0000-0000-0000E2120000}"/>
    <cellStyle name="Normal 4 2 2 5 10" xfId="8960" xr:uid="{A0AF9FBC-B2DF-462D-BA92-D72D167F4F99}"/>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570" xr:uid="{20DFEDD3-6BA0-4592-B43A-EBC18E6F00DD}"/>
    <cellStyle name="Normal 4 2 2 5 2 2 2 3" xfId="12353" xr:uid="{4D86AB2E-2EEF-43B6-8A26-052F2AFB2AAD}"/>
    <cellStyle name="Normal 4 2 2 5 2 2 3" xfId="5143" xr:uid="{00000000-0005-0000-0000-0000E7120000}"/>
    <cellStyle name="Normal 4 2 2 5 2 2 3 2" xfId="14425" xr:uid="{5CB22908-4E80-4BCB-A61D-FDD3EB32D16B}"/>
    <cellStyle name="Normal 4 2 2 5 2 2 4" xfId="10208" xr:uid="{1FC4962F-9F9A-4D9F-8688-C8352493ED5B}"/>
    <cellStyle name="Normal 4 2 2 5 2 2 5" xfId="9380" xr:uid="{0E3E5799-A6F5-429B-B838-A5CBF8A95F4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983" xr:uid="{05E7C91F-4C1A-49D2-9DAB-51D5E3648BAD}"/>
    <cellStyle name="Normal 4 2 2 5 2 3 2 3" xfId="12766" xr:uid="{06AAD506-0CA4-4041-B6BF-3D7A543BD951}"/>
    <cellStyle name="Normal 4 2 2 5 2 3 3" xfId="5556" xr:uid="{00000000-0005-0000-0000-0000EB120000}"/>
    <cellStyle name="Normal 4 2 2 5 2 3 3 2" xfId="14838" xr:uid="{DCB3A9AB-D442-4B8F-A4D9-D2E88D941D59}"/>
    <cellStyle name="Normal 4 2 2 5 2 3 4" xfId="10621" xr:uid="{E6A98333-C9DF-453D-8AF6-41E89A351063}"/>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396" xr:uid="{91F4A27A-4495-4981-8629-07508337AE68}"/>
    <cellStyle name="Normal 4 2 2 5 2 4 2 3" xfId="13179" xr:uid="{BE617159-9A98-4E35-B526-084967BBCC7B}"/>
    <cellStyle name="Normal 4 2 2 5 2 4 3" xfId="5969" xr:uid="{00000000-0005-0000-0000-0000EF120000}"/>
    <cellStyle name="Normal 4 2 2 5 2 4 3 2" xfId="15251" xr:uid="{B59EDF7A-0E0F-4282-95E6-7283885757A9}"/>
    <cellStyle name="Normal 4 2 2 5 2 4 4" xfId="11034" xr:uid="{1E32197D-651A-4D9F-BDB2-06741209C242}"/>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09" xr:uid="{A81E593F-3E56-4B95-A77D-58651BCE0820}"/>
    <cellStyle name="Normal 4 2 2 5 2 5 2 3" xfId="13592" xr:uid="{983AD5E8-D925-4F64-8393-4DE57A46696D}"/>
    <cellStyle name="Normal 4 2 2 5 2 5 3" xfId="6382" xr:uid="{00000000-0005-0000-0000-0000F3120000}"/>
    <cellStyle name="Normal 4 2 2 5 2 5 3 2" xfId="15664" xr:uid="{8CE730DE-DF32-4D37-BC5A-B1F6B1B58D3C}"/>
    <cellStyle name="Normal 4 2 2 5 2 5 4" xfId="11447" xr:uid="{8BEDF88B-43AA-4505-9422-62D6CA8D503C}"/>
    <cellStyle name="Normal 4 2 2 5 2 6" xfId="2512" xr:uid="{00000000-0005-0000-0000-0000F4120000}"/>
    <cellStyle name="Normal 4 2 2 5 2 6 2" xfId="6795" xr:uid="{00000000-0005-0000-0000-0000F5120000}"/>
    <cellStyle name="Normal 4 2 2 5 2 6 2 2" xfId="16077" xr:uid="{09E4EC96-C0E2-42AD-AB54-EF8D80A8BD5D}"/>
    <cellStyle name="Normal 4 2 2 5 2 6 3" xfId="11860" xr:uid="{CD61768F-8CDB-4EE7-B3A8-6F42B3C063D6}"/>
    <cellStyle name="Normal 4 2 2 5 2 7" xfId="4730" xr:uid="{00000000-0005-0000-0000-0000F6120000}"/>
    <cellStyle name="Normal 4 2 2 5 2 7 2" xfId="14012" xr:uid="{30405A13-A2F8-47F8-B3F9-CD703B2DA1B7}"/>
    <cellStyle name="Normal 4 2 2 5 2 8" xfId="9795" xr:uid="{F8554F03-73A4-4268-BC10-6C03555BB69E}"/>
    <cellStyle name="Normal 4 2 2 5 2 9" xfId="8961" xr:uid="{2F9158D2-F43A-4061-965D-C8FF3F0C66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569" xr:uid="{23394C33-5113-44BE-A4DE-085F5C3498C9}"/>
    <cellStyle name="Normal 4 2 2 5 3 2 3" xfId="12352" xr:uid="{C2DF070D-9FAE-4C5C-981E-67E5A84E97CD}"/>
    <cellStyle name="Normal 4 2 2 5 3 3" xfId="5142" xr:uid="{00000000-0005-0000-0000-0000FA120000}"/>
    <cellStyle name="Normal 4 2 2 5 3 3 2" xfId="14424" xr:uid="{EEF2FF4D-644A-4BBD-BDE6-2A7178AD013B}"/>
    <cellStyle name="Normal 4 2 2 5 3 4" xfId="10207" xr:uid="{22F19AF6-DA6C-4D2F-A704-14F26BE047D3}"/>
    <cellStyle name="Normal 4 2 2 5 3 5" xfId="9379" xr:uid="{2F0F08FF-08E0-4DF3-9D3C-73A5B5E5ED0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982" xr:uid="{80677E3E-808F-40F2-AE8E-D0F62D346C31}"/>
    <cellStyle name="Normal 4 2 2 5 4 2 3" xfId="12765" xr:uid="{8139FC10-841C-4FFA-BEDD-8B5629B970E5}"/>
    <cellStyle name="Normal 4 2 2 5 4 3" xfId="5555" xr:uid="{00000000-0005-0000-0000-0000FE120000}"/>
    <cellStyle name="Normal 4 2 2 5 4 3 2" xfId="14837" xr:uid="{3D805A18-B43B-44D3-8441-239CF1A763AC}"/>
    <cellStyle name="Normal 4 2 2 5 4 4" xfId="10620" xr:uid="{764573AE-9E50-427F-B36B-7D99BD826D5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395" xr:uid="{1E5A1921-007B-4D1B-BCCB-E1926BAAE8EC}"/>
    <cellStyle name="Normal 4 2 2 5 5 2 3" xfId="13178" xr:uid="{FA4F09F0-2D4B-4514-9903-FA147AC73844}"/>
    <cellStyle name="Normal 4 2 2 5 5 3" xfId="5968" xr:uid="{00000000-0005-0000-0000-000002130000}"/>
    <cellStyle name="Normal 4 2 2 5 5 3 2" xfId="15250" xr:uid="{80322B8B-2A9D-4DC0-9A26-98CC303CA729}"/>
    <cellStyle name="Normal 4 2 2 5 5 4" xfId="11033" xr:uid="{A53F9AD8-9039-4687-A7C9-5C140CC6D037}"/>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08" xr:uid="{55DD3F30-7131-4298-A811-D89792D48372}"/>
    <cellStyle name="Normal 4 2 2 5 6 2 3" xfId="13591" xr:uid="{6B4F17C5-008A-4777-A21B-5EAE79B6FE03}"/>
    <cellStyle name="Normal 4 2 2 5 6 3" xfId="6381" xr:uid="{00000000-0005-0000-0000-000006130000}"/>
    <cellStyle name="Normal 4 2 2 5 6 3 2" xfId="15663" xr:uid="{0BDCCEB2-E350-4EBC-A70A-D6DC672F89D5}"/>
    <cellStyle name="Normal 4 2 2 5 6 4" xfId="11446" xr:uid="{85499B4B-F5CD-4C97-B86D-89253CBE71EA}"/>
    <cellStyle name="Normal 4 2 2 5 7" xfId="2511" xr:uid="{00000000-0005-0000-0000-000007130000}"/>
    <cellStyle name="Normal 4 2 2 5 7 2" xfId="6794" xr:uid="{00000000-0005-0000-0000-000008130000}"/>
    <cellStyle name="Normal 4 2 2 5 7 2 2" xfId="16076" xr:uid="{885E421B-A975-4397-9035-0643D1F5AD9C}"/>
    <cellStyle name="Normal 4 2 2 5 7 3" xfId="11859" xr:uid="{F588E4FC-A40C-4AEF-B86D-FBBE5D743718}"/>
    <cellStyle name="Normal 4 2 2 5 8" xfId="4729" xr:uid="{00000000-0005-0000-0000-000009130000}"/>
    <cellStyle name="Normal 4 2 2 5 8 2" xfId="14011" xr:uid="{0CC06A97-66C6-4768-86DD-5FB8A9FD3349}"/>
    <cellStyle name="Normal 4 2 2 5 9" xfId="9794" xr:uid="{E80D53D1-C54C-4B3C-9AA3-CE4022BADDCE}"/>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571" xr:uid="{8EFA12D0-EF83-4FC7-ADB9-DC497CA1EF6F}"/>
    <cellStyle name="Normal 4 2 2 6 2 2 3" xfId="12354" xr:uid="{5AD3932E-B6DC-4756-9E3F-FBC9167CAD94}"/>
    <cellStyle name="Normal 4 2 2 6 2 3" xfId="5144" xr:uid="{00000000-0005-0000-0000-00000E130000}"/>
    <cellStyle name="Normal 4 2 2 6 2 3 2" xfId="14426" xr:uid="{6C9112C1-85D9-4909-9DC3-B1AE320DAB2F}"/>
    <cellStyle name="Normal 4 2 2 6 2 4" xfId="10209" xr:uid="{6ECBDEBA-E883-40B7-B724-0314AA757621}"/>
    <cellStyle name="Normal 4 2 2 6 2 5" xfId="9381" xr:uid="{FDD5A9DE-367B-4601-AAAD-3A2775E7B75C}"/>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984" xr:uid="{6ED8BCC6-FE71-47A1-B03A-CDB976173F1F}"/>
    <cellStyle name="Normal 4 2 2 6 3 2 3" xfId="12767" xr:uid="{B20663C5-20D5-44E0-B360-84B9ABF89344}"/>
    <cellStyle name="Normal 4 2 2 6 3 3" xfId="5557" xr:uid="{00000000-0005-0000-0000-000012130000}"/>
    <cellStyle name="Normal 4 2 2 6 3 3 2" xfId="14839" xr:uid="{414D6FF7-25DF-42DA-A015-94919499BD0B}"/>
    <cellStyle name="Normal 4 2 2 6 3 4" xfId="10622" xr:uid="{AA724824-BCFE-4573-863D-3AADAB550A9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397" xr:uid="{ED087124-5FAD-4A01-BD13-391FE8EE2611}"/>
    <cellStyle name="Normal 4 2 2 6 4 2 3" xfId="13180" xr:uid="{43322EBA-9F92-4E24-AFD8-86422B504C03}"/>
    <cellStyle name="Normal 4 2 2 6 4 3" xfId="5970" xr:uid="{00000000-0005-0000-0000-000016130000}"/>
    <cellStyle name="Normal 4 2 2 6 4 3 2" xfId="15252" xr:uid="{808997E1-F5AC-4A07-AC74-F81B491182F8}"/>
    <cellStyle name="Normal 4 2 2 6 4 4" xfId="11035" xr:uid="{85AB58A0-58D6-46B9-AAB5-75540DA3D78B}"/>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10" xr:uid="{7DCD5E66-7821-4DD0-8C0B-6919D7ACDE67}"/>
    <cellStyle name="Normal 4 2 2 6 5 2 3" xfId="13593" xr:uid="{6025F1D3-2555-4040-8A47-8DE4D9F82E85}"/>
    <cellStyle name="Normal 4 2 2 6 5 3" xfId="6383" xr:uid="{00000000-0005-0000-0000-00001A130000}"/>
    <cellStyle name="Normal 4 2 2 6 5 3 2" xfId="15665" xr:uid="{B6129736-3073-468B-88DC-FCDCC6BC8E03}"/>
    <cellStyle name="Normal 4 2 2 6 5 4" xfId="11448" xr:uid="{E9461463-F9C7-4E54-A67D-A3BC40B80859}"/>
    <cellStyle name="Normal 4 2 2 6 6" xfId="2513" xr:uid="{00000000-0005-0000-0000-00001B130000}"/>
    <cellStyle name="Normal 4 2 2 6 6 2" xfId="6796" xr:uid="{00000000-0005-0000-0000-00001C130000}"/>
    <cellStyle name="Normal 4 2 2 6 6 2 2" xfId="16078" xr:uid="{514F88E6-3CBC-4B24-BE0A-216FC8992E15}"/>
    <cellStyle name="Normal 4 2 2 6 6 3" xfId="11861" xr:uid="{0ADCD689-1FA8-483B-9C0B-F5CBB80B4C65}"/>
    <cellStyle name="Normal 4 2 2 6 7" xfId="4731" xr:uid="{00000000-0005-0000-0000-00001D130000}"/>
    <cellStyle name="Normal 4 2 2 6 7 2" xfId="14013" xr:uid="{CB26AA8A-69C9-402B-A93D-280A0DE3CC0D}"/>
    <cellStyle name="Normal 4 2 2 6 8" xfId="9796" xr:uid="{75D86BD0-54D3-4EEE-82EC-65FF62F3F531}"/>
    <cellStyle name="Normal 4 2 2 6 9" xfId="8962" xr:uid="{8AD16502-2428-4251-B7C2-7F419D437E08}"/>
    <cellStyle name="Normal 4 2 2 7" xfId="815" xr:uid="{00000000-0005-0000-0000-00001E130000}"/>
    <cellStyle name="Normal 4 2 2 7 2" xfId="3052" xr:uid="{00000000-0005-0000-0000-00001F130000}"/>
    <cellStyle name="Normal 4 2 2 7 2 2" xfId="7274" xr:uid="{00000000-0005-0000-0000-000020130000}"/>
    <cellStyle name="Normal 4 2 2 7 2 2 2" xfId="16556" xr:uid="{F9EB9116-CD10-4993-9358-813B6791CDB5}"/>
    <cellStyle name="Normal 4 2 2 7 2 3" xfId="12339" xr:uid="{46BEB250-7E63-40A4-A4BC-B28EB25BD09E}"/>
    <cellStyle name="Normal 4 2 2 7 3" xfId="5129" xr:uid="{00000000-0005-0000-0000-000021130000}"/>
    <cellStyle name="Normal 4 2 2 7 3 2" xfId="14411" xr:uid="{9501D7D5-FFE7-405E-83A4-AF2352BB7CA6}"/>
    <cellStyle name="Normal 4 2 2 7 4" xfId="10194" xr:uid="{94880923-5741-44F9-B597-90087358255A}"/>
    <cellStyle name="Normal 4 2 2 7 5" xfId="9366" xr:uid="{F3EB3618-62E7-485E-9E92-947A5A24B351}"/>
    <cellStyle name="Normal 4 2 2 8" xfId="1235" xr:uid="{00000000-0005-0000-0000-000022130000}"/>
    <cellStyle name="Normal 4 2 2 8 2" xfId="3465" xr:uid="{00000000-0005-0000-0000-000023130000}"/>
    <cellStyle name="Normal 4 2 2 8 2 2" xfId="7687" xr:uid="{00000000-0005-0000-0000-000024130000}"/>
    <cellStyle name="Normal 4 2 2 8 2 2 2" xfId="16969" xr:uid="{08E82CA6-148A-432C-9AD8-A25447EEC638}"/>
    <cellStyle name="Normal 4 2 2 8 2 3" xfId="12752" xr:uid="{EEEF410F-B734-4C76-AEEC-75D920971492}"/>
    <cellStyle name="Normal 4 2 2 8 3" xfId="5542" xr:uid="{00000000-0005-0000-0000-000025130000}"/>
    <cellStyle name="Normal 4 2 2 8 3 2" xfId="14824" xr:uid="{BC932613-91E8-4456-9B29-B6BDF3EB26E1}"/>
    <cellStyle name="Normal 4 2 2 8 4" xfId="10607" xr:uid="{FC7A978E-98D9-4E34-AE24-907B18C16B5B}"/>
    <cellStyle name="Normal 4 2 2 9" xfId="1648" xr:uid="{00000000-0005-0000-0000-000026130000}"/>
    <cellStyle name="Normal 4 2 2 9 2" xfId="3878" xr:uid="{00000000-0005-0000-0000-000027130000}"/>
    <cellStyle name="Normal 4 2 2 9 2 2" xfId="8100" xr:uid="{00000000-0005-0000-0000-000028130000}"/>
    <cellStyle name="Normal 4 2 2 9 2 2 2" xfId="17382" xr:uid="{87385441-3E75-4AEC-9C19-07DD790D5AAA}"/>
    <cellStyle name="Normal 4 2 2 9 2 3" xfId="13165" xr:uid="{418D9F94-4C71-4F7A-97D6-333EFF8AC153}"/>
    <cellStyle name="Normal 4 2 2 9 3" xfId="5955" xr:uid="{00000000-0005-0000-0000-000029130000}"/>
    <cellStyle name="Normal 4 2 2 9 3 2" xfId="15237" xr:uid="{09963B2D-4035-44F4-BCCE-F30631DD623E}"/>
    <cellStyle name="Normal 4 2 2 9 4" xfId="11020" xr:uid="{2C718897-3CBE-4D3B-B8DC-50A06A9A5CC2}"/>
    <cellStyle name="Normal 4 2 3" xfId="354" xr:uid="{00000000-0005-0000-0000-00002A130000}"/>
    <cellStyle name="Normal 4 2 4" xfId="355" xr:uid="{00000000-0005-0000-0000-00002B130000}"/>
    <cellStyle name="Normal 4 2 4 10" xfId="4732" xr:uid="{00000000-0005-0000-0000-00002C130000}"/>
    <cellStyle name="Normal 4 2 4 10 2" xfId="14014" xr:uid="{14440D98-265B-4FFE-9FF8-E6B81123138B}"/>
    <cellStyle name="Normal 4 2 4 11" xfId="9797" xr:uid="{B6645990-8362-4A6E-931F-551C51797E21}"/>
    <cellStyle name="Normal 4 2 4 12" xfId="8963" xr:uid="{368A9E80-4438-4AAE-876D-9F6EC704F1C6}"/>
    <cellStyle name="Normal 4 2 4 2" xfId="356" xr:uid="{00000000-0005-0000-0000-00002D130000}"/>
    <cellStyle name="Normal 4 2 4 2 10" xfId="9798" xr:uid="{6E856BA0-68F5-4215-8469-2E6C3F2E11A2}"/>
    <cellStyle name="Normal 4 2 4 2 11" xfId="8964" xr:uid="{FD467178-9131-4DA6-8FB3-8E1FBA048008}"/>
    <cellStyle name="Normal 4 2 4 2 2" xfId="357" xr:uid="{00000000-0005-0000-0000-00002E130000}"/>
    <cellStyle name="Normal 4 2 4 2 2 10" xfId="8965" xr:uid="{D05AC162-EBCD-424B-BEAC-A960EE7E5989}"/>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575" xr:uid="{CB1F435D-0DCC-4AA5-81DD-9BD1839715A9}"/>
    <cellStyle name="Normal 4 2 4 2 2 2 2 2 3" xfId="12358" xr:uid="{B7B29F67-60F8-4667-A7C9-279995F007FB}"/>
    <cellStyle name="Normal 4 2 4 2 2 2 2 3" xfId="5148" xr:uid="{00000000-0005-0000-0000-000033130000}"/>
    <cellStyle name="Normal 4 2 4 2 2 2 2 3 2" xfId="14430" xr:uid="{83306965-90D6-4405-935B-9BAADC32FC27}"/>
    <cellStyle name="Normal 4 2 4 2 2 2 2 4" xfId="10213" xr:uid="{C9648C3A-808D-48C3-A30D-161D859BC7CD}"/>
    <cellStyle name="Normal 4 2 4 2 2 2 2 5" xfId="9385" xr:uid="{489AB359-B88F-4EC3-ADA8-727BA2B754D2}"/>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988" xr:uid="{5D061FB3-C251-4CCF-AA86-9D9AEA660051}"/>
    <cellStyle name="Normal 4 2 4 2 2 2 3 2 3" xfId="12771" xr:uid="{6424081F-68FD-4993-A046-8AE12B877CA1}"/>
    <cellStyle name="Normal 4 2 4 2 2 2 3 3" xfId="5561" xr:uid="{00000000-0005-0000-0000-000037130000}"/>
    <cellStyle name="Normal 4 2 4 2 2 2 3 3 2" xfId="14843" xr:uid="{67FA74DA-6988-4AF1-BBEF-FE49A4AB060F}"/>
    <cellStyle name="Normal 4 2 4 2 2 2 3 4" xfId="10626" xr:uid="{AFADAB25-F281-47BB-8D47-C02C230626ED}"/>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01" xr:uid="{8FA07198-D044-4736-94EB-6C30AEF67256}"/>
    <cellStyle name="Normal 4 2 4 2 2 2 4 2 3" xfId="13184" xr:uid="{4FE81DE6-2364-479C-9273-CE26103A598C}"/>
    <cellStyle name="Normal 4 2 4 2 2 2 4 3" xfId="5974" xr:uid="{00000000-0005-0000-0000-00003B130000}"/>
    <cellStyle name="Normal 4 2 4 2 2 2 4 3 2" xfId="15256" xr:uid="{8D6E2155-1ADA-42B8-A3D1-1FC302E6C3C2}"/>
    <cellStyle name="Normal 4 2 4 2 2 2 4 4" xfId="11039" xr:uid="{99BED055-F064-411E-AABA-F95003F56E5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14" xr:uid="{D01C9994-B175-4DFB-AE50-9B2736BB0BDA}"/>
    <cellStyle name="Normal 4 2 4 2 2 2 5 2 3" xfId="13597" xr:uid="{12F57429-F096-4FFD-9199-C45692B5281D}"/>
    <cellStyle name="Normal 4 2 4 2 2 2 5 3" xfId="6387" xr:uid="{00000000-0005-0000-0000-00003F130000}"/>
    <cellStyle name="Normal 4 2 4 2 2 2 5 3 2" xfId="15669" xr:uid="{81748251-5C79-4F24-9AA3-1E714748D1E6}"/>
    <cellStyle name="Normal 4 2 4 2 2 2 5 4" xfId="11452" xr:uid="{1E9C3E92-3370-4D4E-B3F9-D124286469B3}"/>
    <cellStyle name="Normal 4 2 4 2 2 2 6" xfId="2517" xr:uid="{00000000-0005-0000-0000-000040130000}"/>
    <cellStyle name="Normal 4 2 4 2 2 2 6 2" xfId="6800" xr:uid="{00000000-0005-0000-0000-000041130000}"/>
    <cellStyle name="Normal 4 2 4 2 2 2 6 2 2" xfId="16082" xr:uid="{478A3927-11FE-4AEB-8402-B56AB63C80C8}"/>
    <cellStyle name="Normal 4 2 4 2 2 2 6 3" xfId="11865" xr:uid="{DA18C1B2-33EA-41B2-99BE-9B88E9FC27DC}"/>
    <cellStyle name="Normal 4 2 4 2 2 2 7" xfId="4735" xr:uid="{00000000-0005-0000-0000-000042130000}"/>
    <cellStyle name="Normal 4 2 4 2 2 2 7 2" xfId="14017" xr:uid="{8CF11203-4C51-4060-A74D-C4BD58C6EC4F}"/>
    <cellStyle name="Normal 4 2 4 2 2 2 8" xfId="9800" xr:uid="{56504942-925A-47E4-8D3A-4051A27749F5}"/>
    <cellStyle name="Normal 4 2 4 2 2 2 9" xfId="8966" xr:uid="{23008D15-E66E-4B9B-9A0C-3210DFA67C3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574" xr:uid="{1E374E8A-6222-43AB-8543-CA2B667A98D7}"/>
    <cellStyle name="Normal 4 2 4 2 2 3 2 3" xfId="12357" xr:uid="{CE8BE005-6C34-4CAF-A251-63219411A8A8}"/>
    <cellStyle name="Normal 4 2 4 2 2 3 3" xfId="5147" xr:uid="{00000000-0005-0000-0000-000046130000}"/>
    <cellStyle name="Normal 4 2 4 2 2 3 3 2" xfId="14429" xr:uid="{29B7D6C6-94C2-4BAC-8DFD-82306010F26D}"/>
    <cellStyle name="Normal 4 2 4 2 2 3 4" xfId="10212" xr:uid="{8C147EFD-9D6F-4426-ACB5-8927B8D0E262}"/>
    <cellStyle name="Normal 4 2 4 2 2 3 5" xfId="9384" xr:uid="{B3804784-0552-4773-96D1-729638706A23}"/>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987" xr:uid="{FEC4DA17-639E-42F2-A287-8EEBD4DAA909}"/>
    <cellStyle name="Normal 4 2 4 2 2 4 2 3" xfId="12770" xr:uid="{38DFE64D-92DE-4C9C-8EDA-E1CD8D07508A}"/>
    <cellStyle name="Normal 4 2 4 2 2 4 3" xfId="5560" xr:uid="{00000000-0005-0000-0000-00004A130000}"/>
    <cellStyle name="Normal 4 2 4 2 2 4 3 2" xfId="14842" xr:uid="{E011351C-CBC6-4562-8688-85430928056D}"/>
    <cellStyle name="Normal 4 2 4 2 2 4 4" xfId="10625" xr:uid="{13A6E466-C2DA-4EB0-BEC7-EF72EDF8FADB}"/>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00" xr:uid="{BE2BBACD-327F-4814-8319-4FB1E778B59B}"/>
    <cellStyle name="Normal 4 2 4 2 2 5 2 3" xfId="13183" xr:uid="{B71AD767-FC52-41A2-81B2-1022329BE9ED}"/>
    <cellStyle name="Normal 4 2 4 2 2 5 3" xfId="5973" xr:uid="{00000000-0005-0000-0000-00004E130000}"/>
    <cellStyle name="Normal 4 2 4 2 2 5 3 2" xfId="15255" xr:uid="{42735610-30E2-49F2-95C5-3E3430066B57}"/>
    <cellStyle name="Normal 4 2 4 2 2 5 4" xfId="11038" xr:uid="{10CD3D44-A0DB-4FA0-8E99-866F39864FC6}"/>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13" xr:uid="{D285677A-34BC-42FF-89C1-A2843D887F61}"/>
    <cellStyle name="Normal 4 2 4 2 2 6 2 3" xfId="13596" xr:uid="{BD71B52B-3081-48E4-B65C-FEB6E2D05C7E}"/>
    <cellStyle name="Normal 4 2 4 2 2 6 3" xfId="6386" xr:uid="{00000000-0005-0000-0000-000052130000}"/>
    <cellStyle name="Normal 4 2 4 2 2 6 3 2" xfId="15668" xr:uid="{9A3FCB62-E09F-4B5D-9A89-A7F1BCFC074A}"/>
    <cellStyle name="Normal 4 2 4 2 2 6 4" xfId="11451" xr:uid="{084C0A0A-1304-4CBE-94C4-4A77217DE578}"/>
    <cellStyle name="Normal 4 2 4 2 2 7" xfId="2516" xr:uid="{00000000-0005-0000-0000-000053130000}"/>
    <cellStyle name="Normal 4 2 4 2 2 7 2" xfId="6799" xr:uid="{00000000-0005-0000-0000-000054130000}"/>
    <cellStyle name="Normal 4 2 4 2 2 7 2 2" xfId="16081" xr:uid="{0601B6ED-8418-42C4-9808-213CA380A3C0}"/>
    <cellStyle name="Normal 4 2 4 2 2 7 3" xfId="11864" xr:uid="{CA1E60DE-3A51-4F13-8301-49A91E834B54}"/>
    <cellStyle name="Normal 4 2 4 2 2 8" xfId="4734" xr:uid="{00000000-0005-0000-0000-000055130000}"/>
    <cellStyle name="Normal 4 2 4 2 2 8 2" xfId="14016" xr:uid="{3755D07B-9168-4EA3-A1AD-E88C3B16880D}"/>
    <cellStyle name="Normal 4 2 4 2 2 9" xfId="9799" xr:uid="{68E28CAD-4B59-46EC-ABCC-6D55C8478387}"/>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576" xr:uid="{146C910E-28C5-4ABD-83ED-DFAE3711AEB6}"/>
    <cellStyle name="Normal 4 2 4 2 3 2 2 3" xfId="12359" xr:uid="{0329749B-D3F3-4F8D-9C16-756D3483FFDF}"/>
    <cellStyle name="Normal 4 2 4 2 3 2 3" xfId="5149" xr:uid="{00000000-0005-0000-0000-00005A130000}"/>
    <cellStyle name="Normal 4 2 4 2 3 2 3 2" xfId="14431" xr:uid="{0FDB5D3B-F878-4008-AC7A-A7459B540BB2}"/>
    <cellStyle name="Normal 4 2 4 2 3 2 4" xfId="10214" xr:uid="{8415241A-0DC2-4A51-9FEC-60CB97993CB4}"/>
    <cellStyle name="Normal 4 2 4 2 3 2 5" xfId="9386" xr:uid="{6B06A8E9-9A45-49BE-A785-8D3A453DF8CA}"/>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989" xr:uid="{44AD4C9F-A962-4E1F-AC5C-E2725D1E0837}"/>
    <cellStyle name="Normal 4 2 4 2 3 3 2 3" xfId="12772" xr:uid="{2E205810-AE6C-4F5F-9C20-E8DE4AE6F76D}"/>
    <cellStyle name="Normal 4 2 4 2 3 3 3" xfId="5562" xr:uid="{00000000-0005-0000-0000-00005E130000}"/>
    <cellStyle name="Normal 4 2 4 2 3 3 3 2" xfId="14844" xr:uid="{BC39BE5D-3724-469B-AA27-1A9C62F50444}"/>
    <cellStyle name="Normal 4 2 4 2 3 3 4" xfId="10627" xr:uid="{83008E36-1366-4661-9A8A-F2FE1AA5A81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02" xr:uid="{63FE05D8-A799-4222-82F3-5413D7A31E8F}"/>
    <cellStyle name="Normal 4 2 4 2 3 4 2 3" xfId="13185" xr:uid="{B2BD0D4A-CE9C-4C7A-821F-E91DE49C913C}"/>
    <cellStyle name="Normal 4 2 4 2 3 4 3" xfId="5975" xr:uid="{00000000-0005-0000-0000-000062130000}"/>
    <cellStyle name="Normal 4 2 4 2 3 4 3 2" xfId="15257" xr:uid="{86B6F355-4C15-4D39-844D-36BC0322837D}"/>
    <cellStyle name="Normal 4 2 4 2 3 4 4" xfId="11040" xr:uid="{53A30DBB-8818-4064-8E53-34847BE00138}"/>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15" xr:uid="{216B6B73-2DA3-45EA-9665-B5B6B3C97A27}"/>
    <cellStyle name="Normal 4 2 4 2 3 5 2 3" xfId="13598" xr:uid="{E082A556-CEE4-4CD7-B21D-CD914DF75CD0}"/>
    <cellStyle name="Normal 4 2 4 2 3 5 3" xfId="6388" xr:uid="{00000000-0005-0000-0000-000066130000}"/>
    <cellStyle name="Normal 4 2 4 2 3 5 3 2" xfId="15670" xr:uid="{453F669D-81CE-4021-B576-2A97DD2FEE38}"/>
    <cellStyle name="Normal 4 2 4 2 3 5 4" xfId="11453" xr:uid="{AF9B835E-67A9-4746-90A0-7B5825FEA3D9}"/>
    <cellStyle name="Normal 4 2 4 2 3 6" xfId="2518" xr:uid="{00000000-0005-0000-0000-000067130000}"/>
    <cellStyle name="Normal 4 2 4 2 3 6 2" xfId="6801" xr:uid="{00000000-0005-0000-0000-000068130000}"/>
    <cellStyle name="Normal 4 2 4 2 3 6 2 2" xfId="16083" xr:uid="{44F60812-B144-4A7C-A8EF-438C443118F0}"/>
    <cellStyle name="Normal 4 2 4 2 3 6 3" xfId="11866" xr:uid="{C248318D-01ED-4742-8EF3-D035ACC0136E}"/>
    <cellStyle name="Normal 4 2 4 2 3 7" xfId="4736" xr:uid="{00000000-0005-0000-0000-000069130000}"/>
    <cellStyle name="Normal 4 2 4 2 3 7 2" xfId="14018" xr:uid="{894F205D-03EB-4FFD-A820-802ADBB18876}"/>
    <cellStyle name="Normal 4 2 4 2 3 8" xfId="9801" xr:uid="{E37311FC-C5A6-4BA1-9B03-57D7F84EF186}"/>
    <cellStyle name="Normal 4 2 4 2 3 9" xfId="8967" xr:uid="{60760DDA-1064-4E27-82CB-88680F11A1A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573" xr:uid="{A9B13BF8-3799-4141-957B-315E12B6BB8E}"/>
    <cellStyle name="Normal 4 2 4 2 4 2 3" xfId="12356" xr:uid="{54860DCC-DA49-4E34-9325-5C250351276F}"/>
    <cellStyle name="Normal 4 2 4 2 4 3" xfId="5146" xr:uid="{00000000-0005-0000-0000-00006D130000}"/>
    <cellStyle name="Normal 4 2 4 2 4 3 2" xfId="14428" xr:uid="{31A19208-B30A-4BEA-A324-91AF8A390C63}"/>
    <cellStyle name="Normal 4 2 4 2 4 4" xfId="10211" xr:uid="{223FDAAF-A0D9-4B5E-809F-5270C150F8D8}"/>
    <cellStyle name="Normal 4 2 4 2 4 5" xfId="9383" xr:uid="{248A5635-7486-45E8-B003-BB6E243251C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986" xr:uid="{3A471F6F-CE06-4029-8B35-4C5EA56E423C}"/>
    <cellStyle name="Normal 4 2 4 2 5 2 3" xfId="12769" xr:uid="{74CD17F0-1BEB-4338-89D8-652B8E1BF8EF}"/>
    <cellStyle name="Normal 4 2 4 2 5 3" xfId="5559" xr:uid="{00000000-0005-0000-0000-000071130000}"/>
    <cellStyle name="Normal 4 2 4 2 5 3 2" xfId="14841" xr:uid="{780E9BD5-2E64-4758-A1A0-19CD0AD2F9EF}"/>
    <cellStyle name="Normal 4 2 4 2 5 4" xfId="10624" xr:uid="{91BD1FC6-8749-4DFB-A985-672358632791}"/>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399" xr:uid="{8CE0F62A-AC88-40CD-A601-218C7ACDECD2}"/>
    <cellStyle name="Normal 4 2 4 2 6 2 3" xfId="13182" xr:uid="{3800FBD1-7750-43CE-8E94-79C28C443590}"/>
    <cellStyle name="Normal 4 2 4 2 6 3" xfId="5972" xr:uid="{00000000-0005-0000-0000-000075130000}"/>
    <cellStyle name="Normal 4 2 4 2 6 3 2" xfId="15254" xr:uid="{2C0D0148-2BFF-4587-A989-4707B0F164E7}"/>
    <cellStyle name="Normal 4 2 4 2 6 4" xfId="11037" xr:uid="{5C0FACD8-0608-4109-8C9C-9C144602265F}"/>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12" xr:uid="{CDBFCD3F-EA53-4246-8E09-2A64E5E59BF1}"/>
    <cellStyle name="Normal 4 2 4 2 7 2 3" xfId="13595" xr:uid="{4320FC96-FA15-4507-91B6-D93EE0FBD9AB}"/>
    <cellStyle name="Normal 4 2 4 2 7 3" xfId="6385" xr:uid="{00000000-0005-0000-0000-000079130000}"/>
    <cellStyle name="Normal 4 2 4 2 7 3 2" xfId="15667" xr:uid="{1AE65750-778A-4464-A58B-242F99E46397}"/>
    <cellStyle name="Normal 4 2 4 2 7 4" xfId="11450" xr:uid="{54AD6E56-D46D-4A02-B9B1-690C3C752F3A}"/>
    <cellStyle name="Normal 4 2 4 2 8" xfId="2515" xr:uid="{00000000-0005-0000-0000-00007A130000}"/>
    <cellStyle name="Normal 4 2 4 2 8 2" xfId="6798" xr:uid="{00000000-0005-0000-0000-00007B130000}"/>
    <cellStyle name="Normal 4 2 4 2 8 2 2" xfId="16080" xr:uid="{8FE8EB1E-CD39-4D5E-BD39-A6BA652E60F7}"/>
    <cellStyle name="Normal 4 2 4 2 8 3" xfId="11863" xr:uid="{F828A830-5FFB-4C0C-8F66-C4B9A88BD36A}"/>
    <cellStyle name="Normal 4 2 4 2 9" xfId="4733" xr:uid="{00000000-0005-0000-0000-00007C130000}"/>
    <cellStyle name="Normal 4 2 4 2 9 2" xfId="14015" xr:uid="{3549FD5A-7095-4A76-9FF4-651E72D506A1}"/>
    <cellStyle name="Normal 4 2 4 3" xfId="360" xr:uid="{00000000-0005-0000-0000-00007D130000}"/>
    <cellStyle name="Normal 4 2 4 3 10" xfId="8968" xr:uid="{98CF9B93-195C-4FCD-BAC9-FFB732413459}"/>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578" xr:uid="{2E544014-D6E8-4D8B-B5C0-AB1C6D06CB44}"/>
    <cellStyle name="Normal 4 2 4 3 2 2 2 3" xfId="12361" xr:uid="{B3B105A8-4D19-4D9A-9423-677086E93362}"/>
    <cellStyle name="Normal 4 2 4 3 2 2 3" xfId="5151" xr:uid="{00000000-0005-0000-0000-000082130000}"/>
    <cellStyle name="Normal 4 2 4 3 2 2 3 2" xfId="14433" xr:uid="{5AD6EFB6-607A-4BEE-A511-34E11D2CB995}"/>
    <cellStyle name="Normal 4 2 4 3 2 2 4" xfId="10216" xr:uid="{29E57270-18BF-4F4D-A97A-C441DBDF387C}"/>
    <cellStyle name="Normal 4 2 4 3 2 2 5" xfId="9388" xr:uid="{D16F9917-11D8-4704-B5C1-4C15F06B480F}"/>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991" xr:uid="{AC4F9939-8BEB-4492-8169-3E8E47FE29E3}"/>
    <cellStyle name="Normal 4 2 4 3 2 3 2 3" xfId="12774" xr:uid="{F0169324-DC06-42F3-99D1-08E49EA8857F}"/>
    <cellStyle name="Normal 4 2 4 3 2 3 3" xfId="5564" xr:uid="{00000000-0005-0000-0000-000086130000}"/>
    <cellStyle name="Normal 4 2 4 3 2 3 3 2" xfId="14846" xr:uid="{666CB413-4F5D-445C-A729-9C3F3E4EDC28}"/>
    <cellStyle name="Normal 4 2 4 3 2 3 4" xfId="10629" xr:uid="{0BD4C4FA-E625-4FEE-A16F-29D72F31156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04" xr:uid="{CD53A839-A50A-4718-B8B8-53BAB1B32985}"/>
    <cellStyle name="Normal 4 2 4 3 2 4 2 3" xfId="13187" xr:uid="{04466CCA-01A7-4484-BBAB-57F78C88BE3D}"/>
    <cellStyle name="Normal 4 2 4 3 2 4 3" xfId="5977" xr:uid="{00000000-0005-0000-0000-00008A130000}"/>
    <cellStyle name="Normal 4 2 4 3 2 4 3 2" xfId="15259" xr:uid="{08E055EB-9121-4227-BCFA-944B1D62624B}"/>
    <cellStyle name="Normal 4 2 4 3 2 4 4" xfId="11042" xr:uid="{F5B21BE0-F4BE-4FE9-A4FE-8C7A447953F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17" xr:uid="{FD5996AB-C20D-4FA2-A151-358B7CEE1A37}"/>
    <cellStyle name="Normal 4 2 4 3 2 5 2 3" xfId="13600" xr:uid="{B4D0DA5F-056E-4EB8-8AB6-37B6B3023A9B}"/>
    <cellStyle name="Normal 4 2 4 3 2 5 3" xfId="6390" xr:uid="{00000000-0005-0000-0000-00008E130000}"/>
    <cellStyle name="Normal 4 2 4 3 2 5 3 2" xfId="15672" xr:uid="{5E0FD5D2-40C1-4AA3-A518-9A39C13B4664}"/>
    <cellStyle name="Normal 4 2 4 3 2 5 4" xfId="11455" xr:uid="{6DB01EB6-29D2-4361-A23E-7D03B4E45828}"/>
    <cellStyle name="Normal 4 2 4 3 2 6" xfId="2520" xr:uid="{00000000-0005-0000-0000-00008F130000}"/>
    <cellStyle name="Normal 4 2 4 3 2 6 2" xfId="6803" xr:uid="{00000000-0005-0000-0000-000090130000}"/>
    <cellStyle name="Normal 4 2 4 3 2 6 2 2" xfId="16085" xr:uid="{5329BF6F-00BB-4855-8193-9BC577F76C3C}"/>
    <cellStyle name="Normal 4 2 4 3 2 6 3" xfId="11868" xr:uid="{2F648A8B-140C-444B-A93A-DE14B14B5B60}"/>
    <cellStyle name="Normal 4 2 4 3 2 7" xfId="4738" xr:uid="{00000000-0005-0000-0000-000091130000}"/>
    <cellStyle name="Normal 4 2 4 3 2 7 2" xfId="14020" xr:uid="{639C797F-5114-401D-B9E2-FE54F21102DD}"/>
    <cellStyle name="Normal 4 2 4 3 2 8" xfId="9803" xr:uid="{DA00444F-4649-478B-9161-0377ABDA19B3}"/>
    <cellStyle name="Normal 4 2 4 3 2 9" xfId="8969" xr:uid="{D4BCA530-EBC0-4F17-A1D6-9F366E64949A}"/>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577" xr:uid="{662C643B-E43A-480D-99AE-3D9CCA596847}"/>
    <cellStyle name="Normal 4 2 4 3 3 2 3" xfId="12360" xr:uid="{2F7C8527-CEBF-4678-A321-01D44B512C7C}"/>
    <cellStyle name="Normal 4 2 4 3 3 3" xfId="5150" xr:uid="{00000000-0005-0000-0000-000095130000}"/>
    <cellStyle name="Normal 4 2 4 3 3 3 2" xfId="14432" xr:uid="{9E8363EF-CA94-419B-8FE3-A6810C7BEC65}"/>
    <cellStyle name="Normal 4 2 4 3 3 4" xfId="10215" xr:uid="{8AEED889-F06B-4B28-9ED1-0A50B04F0489}"/>
    <cellStyle name="Normal 4 2 4 3 3 5" xfId="9387" xr:uid="{AAD70135-172F-4FB4-919D-95A1C8B2B565}"/>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990" xr:uid="{D969D71E-8785-40CB-A800-51BE21ABB026}"/>
    <cellStyle name="Normal 4 2 4 3 4 2 3" xfId="12773" xr:uid="{0F8F5645-22AA-4E58-9B95-4D77839D8E01}"/>
    <cellStyle name="Normal 4 2 4 3 4 3" xfId="5563" xr:uid="{00000000-0005-0000-0000-000099130000}"/>
    <cellStyle name="Normal 4 2 4 3 4 3 2" xfId="14845" xr:uid="{585489A1-73AA-415B-B864-CFAC1F13EF07}"/>
    <cellStyle name="Normal 4 2 4 3 4 4" xfId="10628" xr:uid="{C5D4A4B9-9B11-439C-808E-D0944887DB8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03" xr:uid="{A19E34F5-5357-452B-A2E5-D2A6AE8E4998}"/>
    <cellStyle name="Normal 4 2 4 3 5 2 3" xfId="13186" xr:uid="{F80CE28E-C678-491D-878D-E1E3D5C23A42}"/>
    <cellStyle name="Normal 4 2 4 3 5 3" xfId="5976" xr:uid="{00000000-0005-0000-0000-00009D130000}"/>
    <cellStyle name="Normal 4 2 4 3 5 3 2" xfId="15258" xr:uid="{15546B24-399A-4CAB-8E3E-743512B04AD4}"/>
    <cellStyle name="Normal 4 2 4 3 5 4" xfId="11041" xr:uid="{C0648B6B-7FBB-4773-B307-40451C28F2CD}"/>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16" xr:uid="{41864359-9BE7-4AC3-BA5B-9FA54ED71D21}"/>
    <cellStyle name="Normal 4 2 4 3 6 2 3" xfId="13599" xr:uid="{D933CD68-E88E-417E-9580-FBA9BBFEDDF5}"/>
    <cellStyle name="Normal 4 2 4 3 6 3" xfId="6389" xr:uid="{00000000-0005-0000-0000-0000A1130000}"/>
    <cellStyle name="Normal 4 2 4 3 6 3 2" xfId="15671" xr:uid="{F2D2D5B3-0468-4B6D-A8C4-F4B5847F75AD}"/>
    <cellStyle name="Normal 4 2 4 3 6 4" xfId="11454" xr:uid="{A2F17EE4-24F7-42AC-B8E2-1D50935DE84A}"/>
    <cellStyle name="Normal 4 2 4 3 7" xfId="2519" xr:uid="{00000000-0005-0000-0000-0000A2130000}"/>
    <cellStyle name="Normal 4 2 4 3 7 2" xfId="6802" xr:uid="{00000000-0005-0000-0000-0000A3130000}"/>
    <cellStyle name="Normal 4 2 4 3 7 2 2" xfId="16084" xr:uid="{80FE4CE6-DD7C-41DA-B317-E01C341D6876}"/>
    <cellStyle name="Normal 4 2 4 3 7 3" xfId="11867" xr:uid="{1F22FE2D-DEFF-40E6-A0AF-40694A7ABF1B}"/>
    <cellStyle name="Normal 4 2 4 3 8" xfId="4737" xr:uid="{00000000-0005-0000-0000-0000A4130000}"/>
    <cellStyle name="Normal 4 2 4 3 8 2" xfId="14019" xr:uid="{684DA023-9266-4AE5-A04D-6E167BFE408F}"/>
    <cellStyle name="Normal 4 2 4 3 9" xfId="9802" xr:uid="{62DEE0FD-F289-44DC-A565-1D41248AC959}"/>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579" xr:uid="{AA52CB5B-10D7-4D27-A4E0-A298EAFD0FCE}"/>
    <cellStyle name="Normal 4 2 4 4 2 2 3" xfId="12362" xr:uid="{D6426807-EA9D-46A6-A2AB-3D6FFC06606E}"/>
    <cellStyle name="Normal 4 2 4 4 2 3" xfId="5152" xr:uid="{00000000-0005-0000-0000-0000A9130000}"/>
    <cellStyle name="Normal 4 2 4 4 2 3 2" xfId="14434" xr:uid="{6B06FB13-94D2-47FD-9EDC-44D27719D259}"/>
    <cellStyle name="Normal 4 2 4 4 2 4" xfId="10217" xr:uid="{ADEADDEB-EDB1-43BD-B4C0-5FB1BC340A19}"/>
    <cellStyle name="Normal 4 2 4 4 2 5" xfId="9389" xr:uid="{730C605C-4D52-40DB-A14E-6A8D95DF527F}"/>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992" xr:uid="{DF5809BE-6A2E-4F6A-A841-FD80259FAEEA}"/>
    <cellStyle name="Normal 4 2 4 4 3 2 3" xfId="12775" xr:uid="{DEE9E2C7-5F80-4E64-9B52-0255F4D0CA72}"/>
    <cellStyle name="Normal 4 2 4 4 3 3" xfId="5565" xr:uid="{00000000-0005-0000-0000-0000AD130000}"/>
    <cellStyle name="Normal 4 2 4 4 3 3 2" xfId="14847" xr:uid="{E907D742-EFC8-4D2D-BDBC-FE73679CC220}"/>
    <cellStyle name="Normal 4 2 4 4 3 4" xfId="10630" xr:uid="{EC2F2710-A852-4FF8-94A6-BD294B5C8BB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05" xr:uid="{6C1FD35E-1885-49DE-9BFF-A06E233962F5}"/>
    <cellStyle name="Normal 4 2 4 4 4 2 3" xfId="13188" xr:uid="{FEE93D51-0E02-4368-B2F5-BE4A0352BD6F}"/>
    <cellStyle name="Normal 4 2 4 4 4 3" xfId="5978" xr:uid="{00000000-0005-0000-0000-0000B1130000}"/>
    <cellStyle name="Normal 4 2 4 4 4 3 2" xfId="15260" xr:uid="{C5BDC002-A08B-4D2A-81CE-EA12E1C9116A}"/>
    <cellStyle name="Normal 4 2 4 4 4 4" xfId="11043" xr:uid="{D1526D96-E2E1-47E9-A46F-698BC50A4B44}"/>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18" xr:uid="{F371CCE1-6478-4352-9C98-61834AEC9B41}"/>
    <cellStyle name="Normal 4 2 4 4 5 2 3" xfId="13601" xr:uid="{2E8840C1-A223-4664-8160-D93807911F34}"/>
    <cellStyle name="Normal 4 2 4 4 5 3" xfId="6391" xr:uid="{00000000-0005-0000-0000-0000B5130000}"/>
    <cellStyle name="Normal 4 2 4 4 5 3 2" xfId="15673" xr:uid="{5B87F7E3-06A5-45C7-BE22-121E6947727C}"/>
    <cellStyle name="Normal 4 2 4 4 5 4" xfId="11456" xr:uid="{69077FCE-FD2E-45BA-B7B0-9E315C183FBC}"/>
    <cellStyle name="Normal 4 2 4 4 6" xfId="2521" xr:uid="{00000000-0005-0000-0000-0000B6130000}"/>
    <cellStyle name="Normal 4 2 4 4 6 2" xfId="6804" xr:uid="{00000000-0005-0000-0000-0000B7130000}"/>
    <cellStyle name="Normal 4 2 4 4 6 2 2" xfId="16086" xr:uid="{03FFC1C4-1888-4D54-A2E3-F112BB2D9DD0}"/>
    <cellStyle name="Normal 4 2 4 4 6 3" xfId="11869" xr:uid="{CDB2786F-EAD1-4AFE-B649-AE68142834E9}"/>
    <cellStyle name="Normal 4 2 4 4 7" xfId="4739" xr:uid="{00000000-0005-0000-0000-0000B8130000}"/>
    <cellStyle name="Normal 4 2 4 4 7 2" xfId="14021" xr:uid="{3BBECE42-82A7-4717-BD71-005C5563C35D}"/>
    <cellStyle name="Normal 4 2 4 4 8" xfId="9804" xr:uid="{29453931-53D8-4439-A853-0F348E4A8CB4}"/>
    <cellStyle name="Normal 4 2 4 4 9" xfId="8970" xr:uid="{128E123B-FAC8-42B1-ACF6-C0B6DCD39C05}"/>
    <cellStyle name="Normal 4 2 4 5" xfId="831" xr:uid="{00000000-0005-0000-0000-0000B9130000}"/>
    <cellStyle name="Normal 4 2 4 5 2" xfId="3068" xr:uid="{00000000-0005-0000-0000-0000BA130000}"/>
    <cellStyle name="Normal 4 2 4 5 2 2" xfId="7290" xr:uid="{00000000-0005-0000-0000-0000BB130000}"/>
    <cellStyle name="Normal 4 2 4 5 2 2 2" xfId="16572" xr:uid="{77D676F9-5115-41E8-ACA1-4AF7695DCE30}"/>
    <cellStyle name="Normal 4 2 4 5 2 3" xfId="12355" xr:uid="{55B46A23-EB8A-46AE-97B4-D158A29637AD}"/>
    <cellStyle name="Normal 4 2 4 5 3" xfId="5145" xr:uid="{00000000-0005-0000-0000-0000BC130000}"/>
    <cellStyle name="Normal 4 2 4 5 3 2" xfId="14427" xr:uid="{C00B5217-0E88-4C98-8B4D-0560B84A3977}"/>
    <cellStyle name="Normal 4 2 4 5 4" xfId="10210" xr:uid="{21780B46-4589-4917-BD2F-B0B6801AEDC4}"/>
    <cellStyle name="Normal 4 2 4 5 5" xfId="9382" xr:uid="{5071A766-40A8-4ADA-830E-B846B2E344AD}"/>
    <cellStyle name="Normal 4 2 4 6" xfId="1251" xr:uid="{00000000-0005-0000-0000-0000BD130000}"/>
    <cellStyle name="Normal 4 2 4 6 2" xfId="3481" xr:uid="{00000000-0005-0000-0000-0000BE130000}"/>
    <cellStyle name="Normal 4 2 4 6 2 2" xfId="7703" xr:uid="{00000000-0005-0000-0000-0000BF130000}"/>
    <cellStyle name="Normal 4 2 4 6 2 2 2" xfId="16985" xr:uid="{9851E484-FC0C-47EC-AA0F-AC759E4D9752}"/>
    <cellStyle name="Normal 4 2 4 6 2 3" xfId="12768" xr:uid="{87BBE823-5E69-4D24-876E-F02332076C0C}"/>
    <cellStyle name="Normal 4 2 4 6 3" xfId="5558" xr:uid="{00000000-0005-0000-0000-0000C0130000}"/>
    <cellStyle name="Normal 4 2 4 6 3 2" xfId="14840" xr:uid="{D1BB6E84-366B-4369-AC59-D55F5BFBAAB8}"/>
    <cellStyle name="Normal 4 2 4 6 4" xfId="10623" xr:uid="{6952E8C3-8EFD-4A9B-82C1-70D0B5E7592C}"/>
    <cellStyle name="Normal 4 2 4 7" xfId="1664" xr:uid="{00000000-0005-0000-0000-0000C1130000}"/>
    <cellStyle name="Normal 4 2 4 7 2" xfId="3894" xr:uid="{00000000-0005-0000-0000-0000C2130000}"/>
    <cellStyle name="Normal 4 2 4 7 2 2" xfId="8116" xr:uid="{00000000-0005-0000-0000-0000C3130000}"/>
    <cellStyle name="Normal 4 2 4 7 2 2 2" xfId="17398" xr:uid="{41F0BEDA-1834-4637-B5EF-8ABE263F823E}"/>
    <cellStyle name="Normal 4 2 4 7 2 3" xfId="13181" xr:uid="{15CF0708-5E63-445B-A92C-764EF985F251}"/>
    <cellStyle name="Normal 4 2 4 7 3" xfId="5971" xr:uid="{00000000-0005-0000-0000-0000C4130000}"/>
    <cellStyle name="Normal 4 2 4 7 3 2" xfId="15253" xr:uid="{CF48713D-1277-4A23-82CB-C417AA66ADDD}"/>
    <cellStyle name="Normal 4 2 4 7 4" xfId="11036" xr:uid="{E008BF04-12C3-446C-AB7C-36A382F294DB}"/>
    <cellStyle name="Normal 4 2 4 8" xfId="2078" xr:uid="{00000000-0005-0000-0000-0000C5130000}"/>
    <cellStyle name="Normal 4 2 4 8 2" xfId="4307" xr:uid="{00000000-0005-0000-0000-0000C6130000}"/>
    <cellStyle name="Normal 4 2 4 8 2 2" xfId="8529" xr:uid="{00000000-0005-0000-0000-0000C7130000}"/>
    <cellStyle name="Normal 4 2 4 8 2 2 2" xfId="17811" xr:uid="{79EE31DD-9E5C-4CA6-A1D2-09B3D79982E5}"/>
    <cellStyle name="Normal 4 2 4 8 2 3" xfId="13594" xr:uid="{3CD331A3-F71C-43A2-BF6E-4D0EEDC3C0AF}"/>
    <cellStyle name="Normal 4 2 4 8 3" xfId="6384" xr:uid="{00000000-0005-0000-0000-0000C8130000}"/>
    <cellStyle name="Normal 4 2 4 8 3 2" xfId="15666" xr:uid="{1D66A7FF-44AD-4310-A077-E273F6EE0777}"/>
    <cellStyle name="Normal 4 2 4 8 4" xfId="11449" xr:uid="{9E4E71AC-F035-4002-97BE-F754892E2C96}"/>
    <cellStyle name="Normal 4 2 4 9" xfId="2514" xr:uid="{00000000-0005-0000-0000-0000C9130000}"/>
    <cellStyle name="Normal 4 2 4 9 2" xfId="6797" xr:uid="{00000000-0005-0000-0000-0000CA130000}"/>
    <cellStyle name="Normal 4 2 4 9 2 2" xfId="16079" xr:uid="{6B01A4D4-2526-4E84-AC9C-77F0099ECAD9}"/>
    <cellStyle name="Normal 4 2 4 9 3" xfId="11862" xr:uid="{1AB5B799-0445-4690-A63B-85895DCE771C}"/>
    <cellStyle name="Normal 4 2 5" xfId="363" xr:uid="{00000000-0005-0000-0000-0000CB130000}"/>
    <cellStyle name="Normal 4 2 5 10" xfId="8971" xr:uid="{49B23DBD-19BD-4D65-ADFE-4B035B633ED3}"/>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581" xr:uid="{21D5EE63-657B-401A-81B9-39C58DD4BBF7}"/>
    <cellStyle name="Normal 4 2 5 2 2 2 3" xfId="12364" xr:uid="{AD987DEE-0637-4013-9318-A3E224880263}"/>
    <cellStyle name="Normal 4 2 5 2 2 3" xfId="5154" xr:uid="{00000000-0005-0000-0000-0000D0130000}"/>
    <cellStyle name="Normal 4 2 5 2 2 3 2" xfId="14436" xr:uid="{3B537A5D-1584-411F-A4DF-5E94318EE07F}"/>
    <cellStyle name="Normal 4 2 5 2 2 4" xfId="10219" xr:uid="{85EF189E-3BB8-4F3A-B8BB-AA71CF2387E6}"/>
    <cellStyle name="Normal 4 2 5 2 2 5" xfId="9391" xr:uid="{4F085363-CDCA-4A45-9065-1324E543A8E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994" xr:uid="{6674075B-0718-48FF-8CAF-E2D06821EEB1}"/>
    <cellStyle name="Normal 4 2 5 2 3 2 3" xfId="12777" xr:uid="{3985AC7B-1C38-40B8-A19A-4B120FB7500B}"/>
    <cellStyle name="Normal 4 2 5 2 3 3" xfId="5567" xr:uid="{00000000-0005-0000-0000-0000D4130000}"/>
    <cellStyle name="Normal 4 2 5 2 3 3 2" xfId="14849" xr:uid="{77EC77EA-89E2-414D-9898-611BC0ADD4C6}"/>
    <cellStyle name="Normal 4 2 5 2 3 4" xfId="10632" xr:uid="{550729F7-E5AB-447A-ABA7-F17A215B4A69}"/>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07" xr:uid="{FE2F0CAB-B785-4D9B-9475-630991F1EA2D}"/>
    <cellStyle name="Normal 4 2 5 2 4 2 3" xfId="13190" xr:uid="{E0741DFE-2579-4AD7-A6D3-52FA3BF27777}"/>
    <cellStyle name="Normal 4 2 5 2 4 3" xfId="5980" xr:uid="{00000000-0005-0000-0000-0000D8130000}"/>
    <cellStyle name="Normal 4 2 5 2 4 3 2" xfId="15262" xr:uid="{2CE17A45-3022-4E7C-A2EF-0584201503F3}"/>
    <cellStyle name="Normal 4 2 5 2 4 4" xfId="11045" xr:uid="{5996CF43-C232-491D-ADF0-38147040E54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20" xr:uid="{A1E78B78-DC33-42D1-BCCD-B6263016C597}"/>
    <cellStyle name="Normal 4 2 5 2 5 2 3" xfId="13603" xr:uid="{4F7DF6B8-DD54-4032-A0B5-E9BC947DEE36}"/>
    <cellStyle name="Normal 4 2 5 2 5 3" xfId="6393" xr:uid="{00000000-0005-0000-0000-0000DC130000}"/>
    <cellStyle name="Normal 4 2 5 2 5 3 2" xfId="15675" xr:uid="{8B51C460-845E-489E-84B2-6BC02A0EA52A}"/>
    <cellStyle name="Normal 4 2 5 2 5 4" xfId="11458" xr:uid="{1374C0B3-571A-4D69-B628-E47C54ACB223}"/>
    <cellStyle name="Normal 4 2 5 2 6" xfId="2523" xr:uid="{00000000-0005-0000-0000-0000DD130000}"/>
    <cellStyle name="Normal 4 2 5 2 6 2" xfId="6806" xr:uid="{00000000-0005-0000-0000-0000DE130000}"/>
    <cellStyle name="Normal 4 2 5 2 6 2 2" xfId="16088" xr:uid="{E824793B-719B-44F7-9239-599C5D3B5C09}"/>
    <cellStyle name="Normal 4 2 5 2 6 3" xfId="11871" xr:uid="{1A3FA4B4-860F-4FFA-85C1-B4E3F80CC4E7}"/>
    <cellStyle name="Normal 4 2 5 2 7" xfId="4741" xr:uid="{00000000-0005-0000-0000-0000DF130000}"/>
    <cellStyle name="Normal 4 2 5 2 7 2" xfId="14023" xr:uid="{D3073B3B-07FA-4D95-9278-D54A4235107E}"/>
    <cellStyle name="Normal 4 2 5 2 8" xfId="9806" xr:uid="{54E3A37A-18F9-4FF8-A05B-5ED39F42AAA2}"/>
    <cellStyle name="Normal 4 2 5 2 9" xfId="8972" xr:uid="{C93349D9-F2EE-4F93-BF66-B0B42D09D6FF}"/>
    <cellStyle name="Normal 4 2 5 3" xfId="839" xr:uid="{00000000-0005-0000-0000-0000E0130000}"/>
    <cellStyle name="Normal 4 2 5 3 2" xfId="3076" xr:uid="{00000000-0005-0000-0000-0000E1130000}"/>
    <cellStyle name="Normal 4 2 5 3 2 2" xfId="7298" xr:uid="{00000000-0005-0000-0000-0000E2130000}"/>
    <cellStyle name="Normal 4 2 5 3 2 2 2" xfId="16580" xr:uid="{1BA68473-CCF6-46D3-B8A9-85CC709DD312}"/>
    <cellStyle name="Normal 4 2 5 3 2 3" xfId="12363" xr:uid="{05390C94-1814-4F58-A478-5045C1D88692}"/>
    <cellStyle name="Normal 4 2 5 3 3" xfId="5153" xr:uid="{00000000-0005-0000-0000-0000E3130000}"/>
    <cellStyle name="Normal 4 2 5 3 3 2" xfId="14435" xr:uid="{23A0EF45-3EFD-4894-A777-6B3324C136E0}"/>
    <cellStyle name="Normal 4 2 5 3 4" xfId="10218" xr:uid="{A9D341D1-F7AC-4651-9AE4-56C9999D2DCC}"/>
    <cellStyle name="Normal 4 2 5 3 5" xfId="9390" xr:uid="{5340F6A9-6F75-4C04-B637-6C65F0CB3000}"/>
    <cellStyle name="Normal 4 2 5 4" xfId="1259" xr:uid="{00000000-0005-0000-0000-0000E4130000}"/>
    <cellStyle name="Normal 4 2 5 4 2" xfId="3489" xr:uid="{00000000-0005-0000-0000-0000E5130000}"/>
    <cellStyle name="Normal 4 2 5 4 2 2" xfId="7711" xr:uid="{00000000-0005-0000-0000-0000E6130000}"/>
    <cellStyle name="Normal 4 2 5 4 2 2 2" xfId="16993" xr:uid="{555A104D-499F-49BA-9C0C-D74E9BE81D67}"/>
    <cellStyle name="Normal 4 2 5 4 2 3" xfId="12776" xr:uid="{AB237D6D-7B6D-4797-A8C7-70F219BAAE16}"/>
    <cellStyle name="Normal 4 2 5 4 3" xfId="5566" xr:uid="{00000000-0005-0000-0000-0000E7130000}"/>
    <cellStyle name="Normal 4 2 5 4 3 2" xfId="14848" xr:uid="{5CC4CD70-5875-4857-851A-F4568AA1525B}"/>
    <cellStyle name="Normal 4 2 5 4 4" xfId="10631" xr:uid="{81BDC1D4-B53F-4F06-804F-D1BB6A8B89AC}"/>
    <cellStyle name="Normal 4 2 5 5" xfId="1672" xr:uid="{00000000-0005-0000-0000-0000E8130000}"/>
    <cellStyle name="Normal 4 2 5 5 2" xfId="3902" xr:uid="{00000000-0005-0000-0000-0000E9130000}"/>
    <cellStyle name="Normal 4 2 5 5 2 2" xfId="8124" xr:uid="{00000000-0005-0000-0000-0000EA130000}"/>
    <cellStyle name="Normal 4 2 5 5 2 2 2" xfId="17406" xr:uid="{BA43E8FE-863F-4CC8-A41F-5F9EE7D393D2}"/>
    <cellStyle name="Normal 4 2 5 5 2 3" xfId="13189" xr:uid="{8EDC5E2F-8618-4938-8C94-4BE2520E43B2}"/>
    <cellStyle name="Normal 4 2 5 5 3" xfId="5979" xr:uid="{00000000-0005-0000-0000-0000EB130000}"/>
    <cellStyle name="Normal 4 2 5 5 3 2" xfId="15261" xr:uid="{0352DCBF-B71D-43AA-BAB6-B554797920B8}"/>
    <cellStyle name="Normal 4 2 5 5 4" xfId="11044" xr:uid="{156A7A2F-ADE3-4786-AA2B-725AB34789DD}"/>
    <cellStyle name="Normal 4 2 5 6" xfId="2086" xr:uid="{00000000-0005-0000-0000-0000EC130000}"/>
    <cellStyle name="Normal 4 2 5 6 2" xfId="4315" xr:uid="{00000000-0005-0000-0000-0000ED130000}"/>
    <cellStyle name="Normal 4 2 5 6 2 2" xfId="8537" xr:uid="{00000000-0005-0000-0000-0000EE130000}"/>
    <cellStyle name="Normal 4 2 5 6 2 2 2" xfId="17819" xr:uid="{B35C6331-76D0-4E46-AF11-F0FD3E3ADD69}"/>
    <cellStyle name="Normal 4 2 5 6 2 3" xfId="13602" xr:uid="{84CA56D3-6FFA-4008-B77A-9F241966ACAC}"/>
    <cellStyle name="Normal 4 2 5 6 3" xfId="6392" xr:uid="{00000000-0005-0000-0000-0000EF130000}"/>
    <cellStyle name="Normal 4 2 5 6 3 2" xfId="15674" xr:uid="{472D7B94-D5DB-43CE-9963-FDE68FF97382}"/>
    <cellStyle name="Normal 4 2 5 6 4" xfId="11457" xr:uid="{3B6215CC-A9D6-42F8-B1D5-1CC80984C493}"/>
    <cellStyle name="Normal 4 2 5 7" xfId="2522" xr:uid="{00000000-0005-0000-0000-0000F0130000}"/>
    <cellStyle name="Normal 4 2 5 7 2" xfId="6805" xr:uid="{00000000-0005-0000-0000-0000F1130000}"/>
    <cellStyle name="Normal 4 2 5 7 2 2" xfId="16087" xr:uid="{BD98738B-0D81-4FF2-BE42-C4741E6D2F17}"/>
    <cellStyle name="Normal 4 2 5 7 3" xfId="11870" xr:uid="{BCE5B626-08A4-4FF1-B7C0-B4E97F317DCF}"/>
    <cellStyle name="Normal 4 2 5 8" xfId="4740" xr:uid="{00000000-0005-0000-0000-0000F2130000}"/>
    <cellStyle name="Normal 4 2 5 8 2" xfId="14022" xr:uid="{EE21E502-5EE7-4A7C-8D90-5E7060776B4B}"/>
    <cellStyle name="Normal 4 2 5 9" xfId="9805" xr:uid="{175577AB-046E-4FC0-823B-8785283C815B}"/>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582" xr:uid="{A99F5736-A441-4A94-9169-93F94A00BF2A}"/>
    <cellStyle name="Normal 4 2 6 2 2 3" xfId="12365" xr:uid="{08119F66-D2B9-4499-BE8B-DC2CD24A793F}"/>
    <cellStyle name="Normal 4 2 6 2 3" xfId="5155" xr:uid="{00000000-0005-0000-0000-0000F7130000}"/>
    <cellStyle name="Normal 4 2 6 2 3 2" xfId="14437" xr:uid="{CFD58F77-F8D7-449C-9590-0068E00253F4}"/>
    <cellStyle name="Normal 4 2 6 2 4" xfId="10220" xr:uid="{B3ABEEB1-18F5-4FE4-BB60-8B6AF8AA44FF}"/>
    <cellStyle name="Normal 4 2 6 2 5" xfId="9392" xr:uid="{11E23417-9603-4857-8FBD-0D4201EFEB21}"/>
    <cellStyle name="Normal 4 2 6 3" xfId="1261" xr:uid="{00000000-0005-0000-0000-0000F8130000}"/>
    <cellStyle name="Normal 4 2 6 3 2" xfId="3491" xr:uid="{00000000-0005-0000-0000-0000F9130000}"/>
    <cellStyle name="Normal 4 2 6 3 2 2" xfId="7713" xr:uid="{00000000-0005-0000-0000-0000FA130000}"/>
    <cellStyle name="Normal 4 2 6 3 2 2 2" xfId="16995" xr:uid="{995EEF11-7ABA-426D-B17F-AAD498153208}"/>
    <cellStyle name="Normal 4 2 6 3 2 3" xfId="12778" xr:uid="{2A3D6AA8-57C2-4CCE-B934-FEE9950AA05C}"/>
    <cellStyle name="Normal 4 2 6 3 3" xfId="5568" xr:uid="{00000000-0005-0000-0000-0000FB130000}"/>
    <cellStyle name="Normal 4 2 6 3 3 2" xfId="14850" xr:uid="{266DBCBD-3769-49B3-90D1-0714F3579119}"/>
    <cellStyle name="Normal 4 2 6 3 4" xfId="10633" xr:uid="{59448BEA-1D2B-4D3E-838E-8C66787AD322}"/>
    <cellStyle name="Normal 4 2 6 4" xfId="1674" xr:uid="{00000000-0005-0000-0000-0000FC130000}"/>
    <cellStyle name="Normal 4 2 6 4 2" xfId="3904" xr:uid="{00000000-0005-0000-0000-0000FD130000}"/>
    <cellStyle name="Normal 4 2 6 4 2 2" xfId="8126" xr:uid="{00000000-0005-0000-0000-0000FE130000}"/>
    <cellStyle name="Normal 4 2 6 4 2 2 2" xfId="17408" xr:uid="{980F7E98-E76C-4B46-9B5E-33282EF3B2F8}"/>
    <cellStyle name="Normal 4 2 6 4 2 3" xfId="13191" xr:uid="{52F7789E-FBBD-4F1C-8246-0EE30779C9C2}"/>
    <cellStyle name="Normal 4 2 6 4 3" xfId="5981" xr:uid="{00000000-0005-0000-0000-0000FF130000}"/>
    <cellStyle name="Normal 4 2 6 4 3 2" xfId="15263" xr:uid="{9029D44F-4AA7-4E8C-B97F-6410667D9562}"/>
    <cellStyle name="Normal 4 2 6 4 4" xfId="11046" xr:uid="{B7800D32-2CD5-4AA9-BE40-99D0BB8B2547}"/>
    <cellStyle name="Normal 4 2 6 5" xfId="2088" xr:uid="{00000000-0005-0000-0000-000000140000}"/>
    <cellStyle name="Normal 4 2 6 5 2" xfId="4317" xr:uid="{00000000-0005-0000-0000-000001140000}"/>
    <cellStyle name="Normal 4 2 6 5 2 2" xfId="8539" xr:uid="{00000000-0005-0000-0000-000002140000}"/>
    <cellStyle name="Normal 4 2 6 5 2 2 2" xfId="17821" xr:uid="{272C21C0-AB1F-41B7-A35C-38FC56F4B73E}"/>
    <cellStyle name="Normal 4 2 6 5 2 3" xfId="13604" xr:uid="{3E870024-85E3-4332-AC6C-E5CF5C2D42D2}"/>
    <cellStyle name="Normal 4 2 6 5 3" xfId="6394" xr:uid="{00000000-0005-0000-0000-000003140000}"/>
    <cellStyle name="Normal 4 2 6 5 3 2" xfId="15676" xr:uid="{C1F1A1F2-D551-4ED1-84F5-FDD918813B87}"/>
    <cellStyle name="Normal 4 2 6 5 4" xfId="11459" xr:uid="{DD5ACC5F-A138-4C07-93D0-201F3F3BCA22}"/>
    <cellStyle name="Normal 4 2 6 6" xfId="2524" xr:uid="{00000000-0005-0000-0000-000004140000}"/>
    <cellStyle name="Normal 4 2 6 6 2" xfId="6807" xr:uid="{00000000-0005-0000-0000-000005140000}"/>
    <cellStyle name="Normal 4 2 6 6 2 2" xfId="16089" xr:uid="{8299D141-059B-44FC-A96E-C0D6636C8D46}"/>
    <cellStyle name="Normal 4 2 6 6 3" xfId="11872" xr:uid="{49383679-3FAA-4499-9A16-6E5920417910}"/>
    <cellStyle name="Normal 4 2 6 7" xfId="4742" xr:uid="{00000000-0005-0000-0000-000006140000}"/>
    <cellStyle name="Normal 4 2 6 7 2" xfId="14024" xr:uid="{D0DDE9F0-DA14-44FC-ADBC-8D0EBAF05C73}"/>
    <cellStyle name="Normal 4 2 6 8" xfId="9807" xr:uid="{F0862404-1B61-4680-9CE7-64B5928E6F38}"/>
    <cellStyle name="Normal 4 2 6 9" xfId="8973" xr:uid="{0B9EFD2A-FD3C-4923-A907-09932E967044}"/>
    <cellStyle name="Normal 4 3" xfId="366" xr:uid="{00000000-0005-0000-0000-000007140000}"/>
    <cellStyle name="Normal 4 3 10" xfId="9808" xr:uid="{FD4B2E33-D77D-4445-A848-1407A44C9ABA}"/>
    <cellStyle name="Normal 4 3 11" xfId="8974" xr:uid="{EA4D2E23-2C2B-4AA9-AFD7-4619C3006045}"/>
    <cellStyle name="Normal 4 3 2" xfId="367" xr:uid="{00000000-0005-0000-0000-000008140000}"/>
    <cellStyle name="Normal 4 3 2 2" xfId="368" xr:uid="{00000000-0005-0000-0000-000009140000}"/>
    <cellStyle name="Normal 4 3 2 2 2" xfId="369" xr:uid="{00000000-0005-0000-0000-00000A140000}"/>
    <cellStyle name="Normal 4 3 2 2 2 10" xfId="9809" xr:uid="{6A3A7274-8EB0-4E0E-A2C8-029147BCBAC0}"/>
    <cellStyle name="Normal 4 3 2 2 2 11" xfId="8975" xr:uid="{14B4768F-19FD-47AA-AAB4-365FDEA24D63}"/>
    <cellStyle name="Normal 4 3 2 2 2 2" xfId="370" xr:uid="{00000000-0005-0000-0000-00000B140000}"/>
    <cellStyle name="Normal 4 3 2 2 2 2 10" xfId="8976" xr:uid="{C5483DCA-CF74-4B59-9659-4E9FCCA8E1C4}"/>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586" xr:uid="{88C66129-B74C-4A65-A230-7884C1F68A47}"/>
    <cellStyle name="Normal 4 3 2 2 2 2 2 2 2 3" xfId="12369" xr:uid="{124A7422-85AD-4DE4-B20B-34239DC7C763}"/>
    <cellStyle name="Normal 4 3 2 2 2 2 2 2 3" xfId="5159" xr:uid="{00000000-0005-0000-0000-000010140000}"/>
    <cellStyle name="Normal 4 3 2 2 2 2 2 2 3 2" xfId="14441" xr:uid="{30A523F7-DA78-4F34-B0D4-945CC031B104}"/>
    <cellStyle name="Normal 4 3 2 2 2 2 2 2 4" xfId="10224" xr:uid="{92A96300-8431-40EF-AAF9-C8BC2E5EEB1E}"/>
    <cellStyle name="Normal 4 3 2 2 2 2 2 2 5" xfId="9396" xr:uid="{041031F3-B4D1-4F89-9C4A-F06BD69069F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999" xr:uid="{03AEFC14-E676-4E7A-96BD-1572E8977E7D}"/>
    <cellStyle name="Normal 4 3 2 2 2 2 2 3 2 3" xfId="12782" xr:uid="{D96F5D72-6A70-433F-B6D9-E158506432B3}"/>
    <cellStyle name="Normal 4 3 2 2 2 2 2 3 3" xfId="5572" xr:uid="{00000000-0005-0000-0000-000014140000}"/>
    <cellStyle name="Normal 4 3 2 2 2 2 2 3 3 2" xfId="14854" xr:uid="{206A60C7-3669-4BAC-B60E-976526F10963}"/>
    <cellStyle name="Normal 4 3 2 2 2 2 2 3 4" xfId="10637" xr:uid="{DA310291-B906-4051-9900-196E8BF4500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12" xr:uid="{18C6B622-17EC-4D0F-87ED-4074E949F622}"/>
    <cellStyle name="Normal 4 3 2 2 2 2 2 4 2 3" xfId="13195" xr:uid="{444FFF34-1C5B-4FE9-B416-D917EA14EB97}"/>
    <cellStyle name="Normal 4 3 2 2 2 2 2 4 3" xfId="5985" xr:uid="{00000000-0005-0000-0000-000018140000}"/>
    <cellStyle name="Normal 4 3 2 2 2 2 2 4 3 2" xfId="15267" xr:uid="{85F20341-6100-4CD7-8C30-F0714DFAAD92}"/>
    <cellStyle name="Normal 4 3 2 2 2 2 2 4 4" xfId="11050" xr:uid="{A17AF133-7DAE-4929-80B9-132D689CBFA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25" xr:uid="{821F74C0-CFE9-4364-8329-F97A25ED260B}"/>
    <cellStyle name="Normal 4 3 2 2 2 2 2 5 2 3" xfId="13608" xr:uid="{4EE41FC0-E78A-447F-A2FB-4A8D592D9CCB}"/>
    <cellStyle name="Normal 4 3 2 2 2 2 2 5 3" xfId="6398" xr:uid="{00000000-0005-0000-0000-00001C140000}"/>
    <cellStyle name="Normal 4 3 2 2 2 2 2 5 3 2" xfId="15680" xr:uid="{4A305D9C-1DD2-492D-93A7-C95E17B8574F}"/>
    <cellStyle name="Normal 4 3 2 2 2 2 2 5 4" xfId="11463" xr:uid="{6EEA6B76-C2DE-496E-BB31-A105848B1B26}"/>
    <cellStyle name="Normal 4 3 2 2 2 2 2 6" xfId="2528" xr:uid="{00000000-0005-0000-0000-00001D140000}"/>
    <cellStyle name="Normal 4 3 2 2 2 2 2 6 2" xfId="6811" xr:uid="{00000000-0005-0000-0000-00001E140000}"/>
    <cellStyle name="Normal 4 3 2 2 2 2 2 6 2 2" xfId="16093" xr:uid="{A9352D76-1554-46E9-8CB7-9326DD8E5873}"/>
    <cellStyle name="Normal 4 3 2 2 2 2 2 6 3" xfId="11876" xr:uid="{DF3C081D-9CB7-4165-9C3C-C1DB30599593}"/>
    <cellStyle name="Normal 4 3 2 2 2 2 2 7" xfId="4746" xr:uid="{00000000-0005-0000-0000-00001F140000}"/>
    <cellStyle name="Normal 4 3 2 2 2 2 2 7 2" xfId="14028" xr:uid="{6865A28D-7D3E-43E3-A6BA-C00E51EF9144}"/>
    <cellStyle name="Normal 4 3 2 2 2 2 2 8" xfId="9811" xr:uid="{168FA0A4-C404-43C6-B322-EDEA395B1764}"/>
    <cellStyle name="Normal 4 3 2 2 2 2 2 9" xfId="8977" xr:uid="{C87D5757-20C5-4C6D-9E57-C29A90049C35}"/>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585" xr:uid="{59E1416F-6273-4A1C-9A99-39A2ADCB9FDE}"/>
    <cellStyle name="Normal 4 3 2 2 2 2 3 2 3" xfId="12368" xr:uid="{04B3950A-169F-44C8-9B6F-4086949BAC5A}"/>
    <cellStyle name="Normal 4 3 2 2 2 2 3 3" xfId="5158" xr:uid="{00000000-0005-0000-0000-000023140000}"/>
    <cellStyle name="Normal 4 3 2 2 2 2 3 3 2" xfId="14440" xr:uid="{98C5BD94-BCD2-4CE6-9FDA-C1D5C1A8B899}"/>
    <cellStyle name="Normal 4 3 2 2 2 2 3 4" xfId="10223" xr:uid="{F1E6D41B-2C8D-487B-AC86-EF9AA0C77AB0}"/>
    <cellStyle name="Normal 4 3 2 2 2 2 3 5" xfId="9395" xr:uid="{29EED01C-57BF-40EB-B93C-20E8B5072A06}"/>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998" xr:uid="{5E593DA8-01F1-4128-8477-6332F5EF69FD}"/>
    <cellStyle name="Normal 4 3 2 2 2 2 4 2 3" xfId="12781" xr:uid="{1D4F4F93-F7CA-4A33-8E02-B77564AEF28D}"/>
    <cellStyle name="Normal 4 3 2 2 2 2 4 3" xfId="5571" xr:uid="{00000000-0005-0000-0000-000027140000}"/>
    <cellStyle name="Normal 4 3 2 2 2 2 4 3 2" xfId="14853" xr:uid="{F298900C-1375-410F-95D0-BE596B2AFEA0}"/>
    <cellStyle name="Normal 4 3 2 2 2 2 4 4" xfId="10636" xr:uid="{D725A3B9-1FD0-4108-AED1-9A4EFD6E3904}"/>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11" xr:uid="{96A0E8EC-0707-4773-9287-5E12E0ADE814}"/>
    <cellStyle name="Normal 4 3 2 2 2 2 5 2 3" xfId="13194" xr:uid="{FC39423F-56DD-4A2C-A0F5-D0656C1815D8}"/>
    <cellStyle name="Normal 4 3 2 2 2 2 5 3" xfId="5984" xr:uid="{00000000-0005-0000-0000-00002B140000}"/>
    <cellStyle name="Normal 4 3 2 2 2 2 5 3 2" xfId="15266" xr:uid="{0E1BD176-D2C2-42CC-9000-D181B22A7F54}"/>
    <cellStyle name="Normal 4 3 2 2 2 2 5 4" xfId="11049" xr:uid="{56152EDD-F1DB-41EE-B062-1F3A32F28BA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24" xr:uid="{F865A154-B5FD-42E7-88EB-DEA1F22D11A3}"/>
    <cellStyle name="Normal 4 3 2 2 2 2 6 2 3" xfId="13607" xr:uid="{B7AF5F54-F81A-4EA7-93F1-B4F21AD17BA0}"/>
    <cellStyle name="Normal 4 3 2 2 2 2 6 3" xfId="6397" xr:uid="{00000000-0005-0000-0000-00002F140000}"/>
    <cellStyle name="Normal 4 3 2 2 2 2 6 3 2" xfId="15679" xr:uid="{68187D0B-AE05-4BD7-9F22-A0BB33AA9295}"/>
    <cellStyle name="Normal 4 3 2 2 2 2 6 4" xfId="11462" xr:uid="{816F5ABB-C259-4408-B66B-D2001F081876}"/>
    <cellStyle name="Normal 4 3 2 2 2 2 7" xfId="2527" xr:uid="{00000000-0005-0000-0000-000030140000}"/>
    <cellStyle name="Normal 4 3 2 2 2 2 7 2" xfId="6810" xr:uid="{00000000-0005-0000-0000-000031140000}"/>
    <cellStyle name="Normal 4 3 2 2 2 2 7 2 2" xfId="16092" xr:uid="{E110B009-3DDE-4113-8ADD-302B34941699}"/>
    <cellStyle name="Normal 4 3 2 2 2 2 7 3" xfId="11875" xr:uid="{C06B4374-93E0-40C2-B00F-2379FF4A73F9}"/>
    <cellStyle name="Normal 4 3 2 2 2 2 8" xfId="4745" xr:uid="{00000000-0005-0000-0000-000032140000}"/>
    <cellStyle name="Normal 4 3 2 2 2 2 8 2" xfId="14027" xr:uid="{C69910A6-32E9-4E55-A01F-0BF8C0ECDE8A}"/>
    <cellStyle name="Normal 4 3 2 2 2 2 9" xfId="9810" xr:uid="{8A047AF6-B08E-46CE-A382-C3B50A2B708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587" xr:uid="{E830946A-3226-4D44-8EF7-DC0D850EDAF1}"/>
    <cellStyle name="Normal 4 3 2 2 2 3 2 2 3" xfId="12370" xr:uid="{A4F5BD94-C77F-4430-8395-E9F87D9E0FB5}"/>
    <cellStyle name="Normal 4 3 2 2 2 3 2 3" xfId="5160" xr:uid="{00000000-0005-0000-0000-000037140000}"/>
    <cellStyle name="Normal 4 3 2 2 2 3 2 3 2" xfId="14442" xr:uid="{B3009240-094C-4C48-96BC-A2E595F46B9A}"/>
    <cellStyle name="Normal 4 3 2 2 2 3 2 4" xfId="10225" xr:uid="{4870FC61-8CF3-4BCD-B8D1-C92810ED6270}"/>
    <cellStyle name="Normal 4 3 2 2 2 3 2 5" xfId="9397" xr:uid="{75F1A4D8-ECDC-49A4-95FD-A6E466A6656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00" xr:uid="{C5D20502-5125-4D09-A3FF-AAB5895E48BF}"/>
    <cellStyle name="Normal 4 3 2 2 2 3 3 2 3" xfId="12783" xr:uid="{5A25330B-2652-4788-8941-8A907ABCC3A9}"/>
    <cellStyle name="Normal 4 3 2 2 2 3 3 3" xfId="5573" xr:uid="{00000000-0005-0000-0000-00003B140000}"/>
    <cellStyle name="Normal 4 3 2 2 2 3 3 3 2" xfId="14855" xr:uid="{8DFB8744-A011-49D5-B71D-9D87D452C0B0}"/>
    <cellStyle name="Normal 4 3 2 2 2 3 3 4" xfId="10638" xr:uid="{D46EF214-0CE1-4A04-8A0E-F0B4D6DF7FB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13" xr:uid="{9AF15E64-5BE9-4CF9-B00A-AF40DC1EEA64}"/>
    <cellStyle name="Normal 4 3 2 2 2 3 4 2 3" xfId="13196" xr:uid="{890234A5-9F1D-4479-BD55-7EF1F88EE18E}"/>
    <cellStyle name="Normal 4 3 2 2 2 3 4 3" xfId="5986" xr:uid="{00000000-0005-0000-0000-00003F140000}"/>
    <cellStyle name="Normal 4 3 2 2 2 3 4 3 2" xfId="15268" xr:uid="{5CB3E09F-E61C-4912-B58D-9BFB9BA3C49A}"/>
    <cellStyle name="Normal 4 3 2 2 2 3 4 4" xfId="11051" xr:uid="{A3F62823-59F0-480D-9798-16D8980D834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26" xr:uid="{74007DF2-5337-4A4D-8A7D-3814DBC94DF8}"/>
    <cellStyle name="Normal 4 3 2 2 2 3 5 2 3" xfId="13609" xr:uid="{8CABF767-05E3-46D7-95FF-B67E624B7535}"/>
    <cellStyle name="Normal 4 3 2 2 2 3 5 3" xfId="6399" xr:uid="{00000000-0005-0000-0000-000043140000}"/>
    <cellStyle name="Normal 4 3 2 2 2 3 5 3 2" xfId="15681" xr:uid="{93D00F64-3F62-4B1A-90C4-968A4E4F4E1C}"/>
    <cellStyle name="Normal 4 3 2 2 2 3 5 4" xfId="11464" xr:uid="{05FEF949-E042-47B6-9F46-6FFD3041B133}"/>
    <cellStyle name="Normal 4 3 2 2 2 3 6" xfId="2529" xr:uid="{00000000-0005-0000-0000-000044140000}"/>
    <cellStyle name="Normal 4 3 2 2 2 3 6 2" xfId="6812" xr:uid="{00000000-0005-0000-0000-000045140000}"/>
    <cellStyle name="Normal 4 3 2 2 2 3 6 2 2" xfId="16094" xr:uid="{768129DA-EA9D-4A2D-A291-89AE00EB964A}"/>
    <cellStyle name="Normal 4 3 2 2 2 3 6 3" xfId="11877" xr:uid="{C3259236-A504-4FC9-89A5-CFCCAA767D37}"/>
    <cellStyle name="Normal 4 3 2 2 2 3 7" xfId="4747" xr:uid="{00000000-0005-0000-0000-000046140000}"/>
    <cellStyle name="Normal 4 3 2 2 2 3 7 2" xfId="14029" xr:uid="{CCC6745F-6AA4-4067-8A52-A615BE158C7C}"/>
    <cellStyle name="Normal 4 3 2 2 2 3 8" xfId="9812" xr:uid="{93C9DE56-831D-4ED2-B196-CE7B5C72175D}"/>
    <cellStyle name="Normal 4 3 2 2 2 3 9" xfId="8978" xr:uid="{EF38CC87-6B76-4C81-942E-B2AC67C604E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584" xr:uid="{45BBF656-03A8-44F0-9932-32F3D5A6AA0B}"/>
    <cellStyle name="Normal 4 3 2 2 2 4 2 3" xfId="12367" xr:uid="{0FD936B7-6C25-4BD3-A007-3EAFA223F874}"/>
    <cellStyle name="Normal 4 3 2 2 2 4 3" xfId="5157" xr:uid="{00000000-0005-0000-0000-00004A140000}"/>
    <cellStyle name="Normal 4 3 2 2 2 4 3 2" xfId="14439" xr:uid="{5EB83559-F20F-4468-9856-1315C9987070}"/>
    <cellStyle name="Normal 4 3 2 2 2 4 4" xfId="10222" xr:uid="{5953BD2B-397B-4804-A5E6-E12DF70C6475}"/>
    <cellStyle name="Normal 4 3 2 2 2 4 5" xfId="9394" xr:uid="{796582E5-6474-494D-A3DE-38D727B6714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997" xr:uid="{C3C4CE36-DB5B-47ED-9182-DA6A175CDADC}"/>
    <cellStyle name="Normal 4 3 2 2 2 5 2 3" xfId="12780" xr:uid="{32BC1D18-C793-45EC-B335-0E3D880FC226}"/>
    <cellStyle name="Normal 4 3 2 2 2 5 3" xfId="5570" xr:uid="{00000000-0005-0000-0000-00004E140000}"/>
    <cellStyle name="Normal 4 3 2 2 2 5 3 2" xfId="14852" xr:uid="{3891A686-2D52-436B-94AD-2716E2E005F7}"/>
    <cellStyle name="Normal 4 3 2 2 2 5 4" xfId="10635" xr:uid="{EA18EBEB-B026-492E-9621-6857F523D57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10" xr:uid="{4B5AEC16-BF67-4A39-ADDB-E698B849BEFD}"/>
    <cellStyle name="Normal 4 3 2 2 2 6 2 3" xfId="13193" xr:uid="{CEFBB1AE-FF8A-4753-AC11-BF12B5E41CFB}"/>
    <cellStyle name="Normal 4 3 2 2 2 6 3" xfId="5983" xr:uid="{00000000-0005-0000-0000-000052140000}"/>
    <cellStyle name="Normal 4 3 2 2 2 6 3 2" xfId="15265" xr:uid="{EB9F2E3F-4719-41E5-943F-BE5E0CF98F63}"/>
    <cellStyle name="Normal 4 3 2 2 2 6 4" xfId="11048" xr:uid="{892089ED-FDE5-45A1-BCB1-78AB6D00244C}"/>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23" xr:uid="{3465DCE3-2BA9-4738-BDE4-5FAF50337D11}"/>
    <cellStyle name="Normal 4 3 2 2 2 7 2 3" xfId="13606" xr:uid="{A90B1AB4-EE8D-4C03-BC60-2EA00A6F341D}"/>
    <cellStyle name="Normal 4 3 2 2 2 7 3" xfId="6396" xr:uid="{00000000-0005-0000-0000-000056140000}"/>
    <cellStyle name="Normal 4 3 2 2 2 7 3 2" xfId="15678" xr:uid="{67F8A5B6-E4B2-4F30-A47E-D87F15E4AD29}"/>
    <cellStyle name="Normal 4 3 2 2 2 7 4" xfId="11461" xr:uid="{632B9D11-EAE9-457E-A07B-E4E0C9BF5FE7}"/>
    <cellStyle name="Normal 4 3 2 2 2 8" xfId="2526" xr:uid="{00000000-0005-0000-0000-000057140000}"/>
    <cellStyle name="Normal 4 3 2 2 2 8 2" xfId="6809" xr:uid="{00000000-0005-0000-0000-000058140000}"/>
    <cellStyle name="Normal 4 3 2 2 2 8 2 2" xfId="16091" xr:uid="{744BE845-9CE7-4913-90E8-4F045255FB62}"/>
    <cellStyle name="Normal 4 3 2 2 2 8 3" xfId="11874" xr:uid="{BBD67A0C-090E-499A-A607-545568BC39EA}"/>
    <cellStyle name="Normal 4 3 2 2 2 9" xfId="4744" xr:uid="{00000000-0005-0000-0000-000059140000}"/>
    <cellStyle name="Normal 4 3 2 2 2 9 2" xfId="14026" xr:uid="{98CA305A-5E19-4049-A03F-2D2BD7973CEC}"/>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9813" xr:uid="{3EDEDAB3-3773-4567-B97D-ECA136A58CCC}"/>
    <cellStyle name="Normal 4 3 3 11" xfId="8979" xr:uid="{60CE62ED-9801-4C74-9AB9-CFFB03D83B49}"/>
    <cellStyle name="Normal 4 3 3 2" xfId="375" xr:uid="{00000000-0005-0000-0000-00005E140000}"/>
    <cellStyle name="Normal 4 3 3 2 10" xfId="8980" xr:uid="{07C5F945-DD03-499B-8D95-750C0580B321}"/>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590" xr:uid="{372B33E2-C71A-403E-A610-D2F895875BCD}"/>
    <cellStyle name="Normal 4 3 3 2 2 2 2 3" xfId="12373" xr:uid="{2992D0EB-82BB-40AC-B028-0CB8415843EC}"/>
    <cellStyle name="Normal 4 3 3 2 2 2 3" xfId="5163" xr:uid="{00000000-0005-0000-0000-000063140000}"/>
    <cellStyle name="Normal 4 3 3 2 2 2 3 2" xfId="14445" xr:uid="{94AB44D0-7AC3-499A-8EF6-0C2F6702C21A}"/>
    <cellStyle name="Normal 4 3 3 2 2 2 4" xfId="10228" xr:uid="{0A34B05C-8995-4D22-BEE6-EB6B01992059}"/>
    <cellStyle name="Normal 4 3 3 2 2 2 5" xfId="9400" xr:uid="{9C77277D-878E-4339-94BE-6935CFD4447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03" xr:uid="{085749F4-7CE4-4859-9882-D1A86E5C2F48}"/>
    <cellStyle name="Normal 4 3 3 2 2 3 2 3" xfId="12786" xr:uid="{FDCE00BE-4B2A-451E-83D1-CE253E70581C}"/>
    <cellStyle name="Normal 4 3 3 2 2 3 3" xfId="5576" xr:uid="{00000000-0005-0000-0000-000067140000}"/>
    <cellStyle name="Normal 4 3 3 2 2 3 3 2" xfId="14858" xr:uid="{53F71BD3-144E-4E29-841C-83877CA8AC58}"/>
    <cellStyle name="Normal 4 3 3 2 2 3 4" xfId="10641" xr:uid="{D9AB9A1D-985B-4C4A-9593-BFC866408E2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16" xr:uid="{414C4C2F-34CC-4E88-8C98-B803D08F6BD9}"/>
    <cellStyle name="Normal 4 3 3 2 2 4 2 3" xfId="13199" xr:uid="{4135CB45-9E88-4553-AE45-847B83898D41}"/>
    <cellStyle name="Normal 4 3 3 2 2 4 3" xfId="5989" xr:uid="{00000000-0005-0000-0000-00006B140000}"/>
    <cellStyle name="Normal 4 3 3 2 2 4 3 2" xfId="15271" xr:uid="{E8240396-8092-4224-808F-93DE567F9061}"/>
    <cellStyle name="Normal 4 3 3 2 2 4 4" xfId="11054" xr:uid="{EFDCB681-F86A-458A-B719-87E9A5DFAF9D}"/>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29" xr:uid="{8851C3D3-9109-488B-8060-3D6B62F4407C}"/>
    <cellStyle name="Normal 4 3 3 2 2 5 2 3" xfId="13612" xr:uid="{6304C021-E0D9-42C4-A384-56B041AB196D}"/>
    <cellStyle name="Normal 4 3 3 2 2 5 3" xfId="6402" xr:uid="{00000000-0005-0000-0000-00006F140000}"/>
    <cellStyle name="Normal 4 3 3 2 2 5 3 2" xfId="15684" xr:uid="{EC335D4D-48E3-46B5-BECA-A6EED5B8BD90}"/>
    <cellStyle name="Normal 4 3 3 2 2 5 4" xfId="11467" xr:uid="{96418DFB-CF27-4AB7-8B9D-DF2DCDB424FE}"/>
    <cellStyle name="Normal 4 3 3 2 2 6" xfId="2532" xr:uid="{00000000-0005-0000-0000-000070140000}"/>
    <cellStyle name="Normal 4 3 3 2 2 6 2" xfId="6815" xr:uid="{00000000-0005-0000-0000-000071140000}"/>
    <cellStyle name="Normal 4 3 3 2 2 6 2 2" xfId="16097" xr:uid="{3CD3CC7E-2DB0-4505-B360-704B1551BF03}"/>
    <cellStyle name="Normal 4 3 3 2 2 6 3" xfId="11880" xr:uid="{DBE82C35-8DD5-4C27-95A7-582E4ED742F8}"/>
    <cellStyle name="Normal 4 3 3 2 2 7" xfId="4750" xr:uid="{00000000-0005-0000-0000-000072140000}"/>
    <cellStyle name="Normal 4 3 3 2 2 7 2" xfId="14032" xr:uid="{36BAB8D9-726E-47AF-94A2-4A925D85CC14}"/>
    <cellStyle name="Normal 4 3 3 2 2 8" xfId="9815" xr:uid="{8AA20C9D-DF2E-4A7C-8F76-13D5BCD50662}"/>
    <cellStyle name="Normal 4 3 3 2 2 9" xfId="8981" xr:uid="{16D22FFD-7C20-4D65-8867-77135253AD06}"/>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589" xr:uid="{1906D802-FFC4-4EDD-93CD-6D3A1E276153}"/>
    <cellStyle name="Normal 4 3 3 2 3 2 3" xfId="12372" xr:uid="{55691891-62F2-4D90-9755-DA1C0F60F682}"/>
    <cellStyle name="Normal 4 3 3 2 3 3" xfId="5162" xr:uid="{00000000-0005-0000-0000-000076140000}"/>
    <cellStyle name="Normal 4 3 3 2 3 3 2" xfId="14444" xr:uid="{747F1791-9BFB-4BDF-8FD7-AC391886DA2E}"/>
    <cellStyle name="Normal 4 3 3 2 3 4" xfId="10227" xr:uid="{02448D24-1105-4C34-93F2-6EF0AECE3263}"/>
    <cellStyle name="Normal 4 3 3 2 3 5" xfId="9399" xr:uid="{BB521ADC-466E-4010-A001-5F7FD2466F7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02" xr:uid="{BDF50D08-9DFD-458F-99D6-016619859BD8}"/>
    <cellStyle name="Normal 4 3 3 2 4 2 3" xfId="12785" xr:uid="{C0BC16FC-5733-4939-B6D7-29C5B9B26B8C}"/>
    <cellStyle name="Normal 4 3 3 2 4 3" xfId="5575" xr:uid="{00000000-0005-0000-0000-00007A140000}"/>
    <cellStyle name="Normal 4 3 3 2 4 3 2" xfId="14857" xr:uid="{8E690258-ECAB-4EC4-BA18-65760BAC74AE}"/>
    <cellStyle name="Normal 4 3 3 2 4 4" xfId="10640" xr:uid="{759587AD-FC9B-4A73-9499-8C02E2CAF84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15" xr:uid="{DE0E1385-C2DA-4102-B6CC-78010BC7C31E}"/>
    <cellStyle name="Normal 4 3 3 2 5 2 3" xfId="13198" xr:uid="{F80069FA-F7D0-48D0-BBEE-6AFFA9F506D8}"/>
    <cellStyle name="Normal 4 3 3 2 5 3" xfId="5988" xr:uid="{00000000-0005-0000-0000-00007E140000}"/>
    <cellStyle name="Normal 4 3 3 2 5 3 2" xfId="15270" xr:uid="{E5C8CBDF-2FA0-4189-ADF4-D3E2267CD3D0}"/>
    <cellStyle name="Normal 4 3 3 2 5 4" xfId="11053" xr:uid="{0324356E-0CB1-4B41-A983-A3A7548BA62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28" xr:uid="{44BC4865-7E30-4DA0-BEBE-9DCBD9589DC3}"/>
    <cellStyle name="Normal 4 3 3 2 6 2 3" xfId="13611" xr:uid="{4985B846-2F39-409D-A67A-DC3F95592F23}"/>
    <cellStyle name="Normal 4 3 3 2 6 3" xfId="6401" xr:uid="{00000000-0005-0000-0000-000082140000}"/>
    <cellStyle name="Normal 4 3 3 2 6 3 2" xfId="15683" xr:uid="{2B8E195C-BCDA-44E0-8652-09481B2A597D}"/>
    <cellStyle name="Normal 4 3 3 2 6 4" xfId="11466" xr:uid="{379ADADF-525D-416B-9ADA-1CCE03A9FEFC}"/>
    <cellStyle name="Normal 4 3 3 2 7" xfId="2531" xr:uid="{00000000-0005-0000-0000-000083140000}"/>
    <cellStyle name="Normal 4 3 3 2 7 2" xfId="6814" xr:uid="{00000000-0005-0000-0000-000084140000}"/>
    <cellStyle name="Normal 4 3 3 2 7 2 2" xfId="16096" xr:uid="{B3FE664D-3FFA-434A-9A5F-6A8AEE063230}"/>
    <cellStyle name="Normal 4 3 3 2 7 3" xfId="11879" xr:uid="{0F420947-D9F9-41A6-B39A-0FF51F8363F3}"/>
    <cellStyle name="Normal 4 3 3 2 8" xfId="4749" xr:uid="{00000000-0005-0000-0000-000085140000}"/>
    <cellStyle name="Normal 4 3 3 2 8 2" xfId="14031" xr:uid="{FE2F5D66-FCF6-45F9-B928-853BF6E99FEA}"/>
    <cellStyle name="Normal 4 3 3 2 9" xfId="9814" xr:uid="{ADFF94C4-0EB3-47E3-9284-F04BC7A456F8}"/>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591" xr:uid="{C9CCF646-EC05-4C02-9B4D-C13463F267D2}"/>
    <cellStyle name="Normal 4 3 3 3 2 2 3" xfId="12374" xr:uid="{6FC50781-5886-4506-97A9-3339B7A7DFB0}"/>
    <cellStyle name="Normal 4 3 3 3 2 3" xfId="5164" xr:uid="{00000000-0005-0000-0000-00008A140000}"/>
    <cellStyle name="Normal 4 3 3 3 2 3 2" xfId="14446" xr:uid="{EFBA4E1D-B4F9-4CA9-A65A-D7F0AC42AA8B}"/>
    <cellStyle name="Normal 4 3 3 3 2 4" xfId="10229" xr:uid="{2BAC3D92-805A-41A0-BF21-0953B3A4264C}"/>
    <cellStyle name="Normal 4 3 3 3 2 5" xfId="9401" xr:uid="{1ED75A9F-5884-4584-9E0C-C63F3D7F9803}"/>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04" xr:uid="{AF2FC21C-595C-4415-9DB5-46DBA726A918}"/>
    <cellStyle name="Normal 4 3 3 3 3 2 3" xfId="12787" xr:uid="{529356F6-535A-477D-98D0-6CB088DA32F2}"/>
    <cellStyle name="Normal 4 3 3 3 3 3" xfId="5577" xr:uid="{00000000-0005-0000-0000-00008E140000}"/>
    <cellStyle name="Normal 4 3 3 3 3 3 2" xfId="14859" xr:uid="{133CA99E-21C9-4FB6-8183-CC386BDC0E9B}"/>
    <cellStyle name="Normal 4 3 3 3 3 4" xfId="10642" xr:uid="{7D74BF14-CE5C-41EA-9031-017C4AA00D54}"/>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17" xr:uid="{275A31F7-E25E-49FE-99AE-337AC7B02415}"/>
    <cellStyle name="Normal 4 3 3 3 4 2 3" xfId="13200" xr:uid="{C870076A-2734-4E84-A95C-17EDCA1BC289}"/>
    <cellStyle name="Normal 4 3 3 3 4 3" xfId="5990" xr:uid="{00000000-0005-0000-0000-000092140000}"/>
    <cellStyle name="Normal 4 3 3 3 4 3 2" xfId="15272" xr:uid="{85CB4FD6-45FC-409F-BD3D-B217F1A90052}"/>
    <cellStyle name="Normal 4 3 3 3 4 4" xfId="11055" xr:uid="{05398E08-F11C-4155-AF8B-AEDBA3614CB0}"/>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30" xr:uid="{55F8ACCD-8ECC-47EE-9F40-0D608EB3C0CA}"/>
    <cellStyle name="Normal 4 3 3 3 5 2 3" xfId="13613" xr:uid="{A2E7BA02-2232-40EE-9079-53C39CF6C885}"/>
    <cellStyle name="Normal 4 3 3 3 5 3" xfId="6403" xr:uid="{00000000-0005-0000-0000-000096140000}"/>
    <cellStyle name="Normal 4 3 3 3 5 3 2" xfId="15685" xr:uid="{3EFF23AE-565E-475F-BC17-C5DDA5E2F48C}"/>
    <cellStyle name="Normal 4 3 3 3 5 4" xfId="11468" xr:uid="{E67F5C51-2491-4020-820C-CABF96713B38}"/>
    <cellStyle name="Normal 4 3 3 3 6" xfId="2533" xr:uid="{00000000-0005-0000-0000-000097140000}"/>
    <cellStyle name="Normal 4 3 3 3 6 2" xfId="6816" xr:uid="{00000000-0005-0000-0000-000098140000}"/>
    <cellStyle name="Normal 4 3 3 3 6 2 2" xfId="16098" xr:uid="{05F86991-9D41-40C4-8CAA-F93D5BB40B0A}"/>
    <cellStyle name="Normal 4 3 3 3 6 3" xfId="11881" xr:uid="{17DF0C6C-A00D-4B1E-AE4F-C574E95FD6A8}"/>
    <cellStyle name="Normal 4 3 3 3 7" xfId="4751" xr:uid="{00000000-0005-0000-0000-000099140000}"/>
    <cellStyle name="Normal 4 3 3 3 7 2" xfId="14033" xr:uid="{046047B0-A00A-4B1D-AC65-33CB499CD6F3}"/>
    <cellStyle name="Normal 4 3 3 3 8" xfId="9816" xr:uid="{828F69C4-9F9C-4026-9BD6-9FD17AC74AF0}"/>
    <cellStyle name="Normal 4 3 3 3 9" xfId="8982" xr:uid="{AD8BAD11-7500-4ACE-A370-BC0A7DE4D078}"/>
    <cellStyle name="Normal 4 3 3 4" xfId="849" xr:uid="{00000000-0005-0000-0000-00009A140000}"/>
    <cellStyle name="Normal 4 3 3 4 2" xfId="3084" xr:uid="{00000000-0005-0000-0000-00009B140000}"/>
    <cellStyle name="Normal 4 3 3 4 2 2" xfId="7306" xr:uid="{00000000-0005-0000-0000-00009C140000}"/>
    <cellStyle name="Normal 4 3 3 4 2 2 2" xfId="16588" xr:uid="{54DBA2D9-A9CC-4815-AEC9-A7B77B8BBCC5}"/>
    <cellStyle name="Normal 4 3 3 4 2 3" xfId="12371" xr:uid="{AB6D00FC-B016-428E-983D-3FE3E223575D}"/>
    <cellStyle name="Normal 4 3 3 4 3" xfId="5161" xr:uid="{00000000-0005-0000-0000-00009D140000}"/>
    <cellStyle name="Normal 4 3 3 4 3 2" xfId="14443" xr:uid="{A042ABE6-AF69-4F6F-9A8D-61CD850797D1}"/>
    <cellStyle name="Normal 4 3 3 4 4" xfId="10226" xr:uid="{38CB6FA4-653B-46D7-AB0F-7F4C5C1B5DA4}"/>
    <cellStyle name="Normal 4 3 3 4 5" xfId="9398" xr:uid="{C65F3728-C9D7-4B72-8696-A81634C5BDB4}"/>
    <cellStyle name="Normal 4 3 3 5" xfId="1267" xr:uid="{00000000-0005-0000-0000-00009E140000}"/>
    <cellStyle name="Normal 4 3 3 5 2" xfId="3497" xr:uid="{00000000-0005-0000-0000-00009F140000}"/>
    <cellStyle name="Normal 4 3 3 5 2 2" xfId="7719" xr:uid="{00000000-0005-0000-0000-0000A0140000}"/>
    <cellStyle name="Normal 4 3 3 5 2 2 2" xfId="17001" xr:uid="{5AB6859B-B124-4DF1-AEEF-98ACCB6121C5}"/>
    <cellStyle name="Normal 4 3 3 5 2 3" xfId="12784" xr:uid="{1679E837-3F48-4B6E-9B02-E1E909EC850A}"/>
    <cellStyle name="Normal 4 3 3 5 3" xfId="5574" xr:uid="{00000000-0005-0000-0000-0000A1140000}"/>
    <cellStyle name="Normal 4 3 3 5 3 2" xfId="14856" xr:uid="{CE3F1CCB-2100-4762-85A2-BA1A8AAED430}"/>
    <cellStyle name="Normal 4 3 3 5 4" xfId="10639" xr:uid="{739D1C9D-851D-4934-9A5E-C3511D642C3E}"/>
    <cellStyle name="Normal 4 3 3 6" xfId="1680" xr:uid="{00000000-0005-0000-0000-0000A2140000}"/>
    <cellStyle name="Normal 4 3 3 6 2" xfId="3910" xr:uid="{00000000-0005-0000-0000-0000A3140000}"/>
    <cellStyle name="Normal 4 3 3 6 2 2" xfId="8132" xr:uid="{00000000-0005-0000-0000-0000A4140000}"/>
    <cellStyle name="Normal 4 3 3 6 2 2 2" xfId="17414" xr:uid="{2CB3C6DF-BECA-482F-81F2-F3B34EE10119}"/>
    <cellStyle name="Normal 4 3 3 6 2 3" xfId="13197" xr:uid="{B57278AA-8223-41DF-9958-A58A1386CCE4}"/>
    <cellStyle name="Normal 4 3 3 6 3" xfId="5987" xr:uid="{00000000-0005-0000-0000-0000A5140000}"/>
    <cellStyle name="Normal 4 3 3 6 3 2" xfId="15269" xr:uid="{FBC25BAA-E68A-4383-BCFF-99ABADAF6013}"/>
    <cellStyle name="Normal 4 3 3 6 4" xfId="11052" xr:uid="{6AD4ADB9-DE4D-4B5B-8E36-E129523DE6AE}"/>
    <cellStyle name="Normal 4 3 3 7" xfId="2094" xr:uid="{00000000-0005-0000-0000-0000A6140000}"/>
    <cellStyle name="Normal 4 3 3 7 2" xfId="4323" xr:uid="{00000000-0005-0000-0000-0000A7140000}"/>
    <cellStyle name="Normal 4 3 3 7 2 2" xfId="8545" xr:uid="{00000000-0005-0000-0000-0000A8140000}"/>
    <cellStyle name="Normal 4 3 3 7 2 2 2" xfId="17827" xr:uid="{8B36187E-68A6-48A1-98E0-B49739964B45}"/>
    <cellStyle name="Normal 4 3 3 7 2 3" xfId="13610" xr:uid="{5F1490C8-A1DC-467F-BB6A-DDA0D7F21F2A}"/>
    <cellStyle name="Normal 4 3 3 7 3" xfId="6400" xr:uid="{00000000-0005-0000-0000-0000A9140000}"/>
    <cellStyle name="Normal 4 3 3 7 3 2" xfId="15682" xr:uid="{97D2DA22-BF8A-4D2E-B872-D920C9CB6916}"/>
    <cellStyle name="Normal 4 3 3 7 4" xfId="11465" xr:uid="{5D8CE257-900C-4D3D-BC08-8727E0DC1720}"/>
    <cellStyle name="Normal 4 3 3 8" xfId="2530" xr:uid="{00000000-0005-0000-0000-0000AA140000}"/>
    <cellStyle name="Normal 4 3 3 8 2" xfId="6813" xr:uid="{00000000-0005-0000-0000-0000AB140000}"/>
    <cellStyle name="Normal 4 3 3 8 2 2" xfId="16095" xr:uid="{687794AC-9B58-433A-9E12-E5CC7D3A4346}"/>
    <cellStyle name="Normal 4 3 3 8 3" xfId="11878" xr:uid="{4FB4D47A-4906-452A-B396-91D17493D754}"/>
    <cellStyle name="Normal 4 3 3 9" xfId="4748" xr:uid="{00000000-0005-0000-0000-0000AC140000}"/>
    <cellStyle name="Normal 4 3 3 9 2" xfId="14030" xr:uid="{D5956B5D-3804-4DCE-B218-C5730AE77123}"/>
    <cellStyle name="Normal 4 3 4" xfId="842" xr:uid="{00000000-0005-0000-0000-0000AD140000}"/>
    <cellStyle name="Normal 4 3 4 2" xfId="3079" xr:uid="{00000000-0005-0000-0000-0000AE140000}"/>
    <cellStyle name="Normal 4 3 4 2 2" xfId="7301" xr:uid="{00000000-0005-0000-0000-0000AF140000}"/>
    <cellStyle name="Normal 4 3 4 2 2 2" xfId="16583" xr:uid="{25BB9192-FC8F-440B-9038-599FA91CCD2E}"/>
    <cellStyle name="Normal 4 3 4 2 3" xfId="12366" xr:uid="{3D0BE37C-516B-4772-BFC8-65D9A7561A0D}"/>
    <cellStyle name="Normal 4 3 4 3" xfId="5156" xr:uid="{00000000-0005-0000-0000-0000B0140000}"/>
    <cellStyle name="Normal 4 3 4 3 2" xfId="14438" xr:uid="{F31C26CD-83EA-4A54-AAC6-03B170E0FDDB}"/>
    <cellStyle name="Normal 4 3 4 4" xfId="10221" xr:uid="{F9649488-E357-41F9-8431-450613A5CC3B}"/>
    <cellStyle name="Normal 4 3 4 5" xfId="9393" xr:uid="{1A0ED415-1157-4C5C-887F-0F51ED0E4B1A}"/>
    <cellStyle name="Normal 4 3 5" xfId="1262" xr:uid="{00000000-0005-0000-0000-0000B1140000}"/>
    <cellStyle name="Normal 4 3 5 2" xfId="3492" xr:uid="{00000000-0005-0000-0000-0000B2140000}"/>
    <cellStyle name="Normal 4 3 5 2 2" xfId="7714" xr:uid="{00000000-0005-0000-0000-0000B3140000}"/>
    <cellStyle name="Normal 4 3 5 2 2 2" xfId="16996" xr:uid="{32E6F948-E0A1-43C8-8673-B88603A20742}"/>
    <cellStyle name="Normal 4 3 5 2 3" xfId="12779" xr:uid="{1D29985B-707C-4E63-9D9C-EC300A6AE55C}"/>
    <cellStyle name="Normal 4 3 5 3" xfId="5569" xr:uid="{00000000-0005-0000-0000-0000B4140000}"/>
    <cellStyle name="Normal 4 3 5 3 2" xfId="14851" xr:uid="{8E18ECDE-BF88-4477-A56A-A6E0D29FB5C4}"/>
    <cellStyle name="Normal 4 3 5 4" xfId="10634" xr:uid="{FE31CF3F-CA81-4A5C-A620-D1AA63262139}"/>
    <cellStyle name="Normal 4 3 6" xfId="1675" xr:uid="{00000000-0005-0000-0000-0000B5140000}"/>
    <cellStyle name="Normal 4 3 6 2" xfId="3905" xr:uid="{00000000-0005-0000-0000-0000B6140000}"/>
    <cellStyle name="Normal 4 3 6 2 2" xfId="8127" xr:uid="{00000000-0005-0000-0000-0000B7140000}"/>
    <cellStyle name="Normal 4 3 6 2 2 2" xfId="17409" xr:uid="{8A78B9B8-B35B-46F5-A202-DDDE2A602222}"/>
    <cellStyle name="Normal 4 3 6 2 3" xfId="13192" xr:uid="{BD952514-641F-4B8F-B12A-B5DA31B513AB}"/>
    <cellStyle name="Normal 4 3 6 3" xfId="5982" xr:uid="{00000000-0005-0000-0000-0000B8140000}"/>
    <cellStyle name="Normal 4 3 6 3 2" xfId="15264" xr:uid="{23E93A47-5A7A-4419-AF9D-F48F88731302}"/>
    <cellStyle name="Normal 4 3 6 4" xfId="11047" xr:uid="{2717C528-734E-4A56-A595-2FB7C01690F1}"/>
    <cellStyle name="Normal 4 3 7" xfId="2089" xr:uid="{00000000-0005-0000-0000-0000B9140000}"/>
    <cellStyle name="Normal 4 3 7 2" xfId="4318" xr:uid="{00000000-0005-0000-0000-0000BA140000}"/>
    <cellStyle name="Normal 4 3 7 2 2" xfId="8540" xr:uid="{00000000-0005-0000-0000-0000BB140000}"/>
    <cellStyle name="Normal 4 3 7 2 2 2" xfId="17822" xr:uid="{0ECA7BC3-1368-46E3-862C-25DA334449F4}"/>
    <cellStyle name="Normal 4 3 7 2 3" xfId="13605" xr:uid="{2942216B-A536-47A8-B557-1A541E1A3B96}"/>
    <cellStyle name="Normal 4 3 7 3" xfId="6395" xr:uid="{00000000-0005-0000-0000-0000BC140000}"/>
    <cellStyle name="Normal 4 3 7 3 2" xfId="15677" xr:uid="{8D978935-1E67-4F71-8836-E9EB9D17C8EB}"/>
    <cellStyle name="Normal 4 3 7 4" xfId="11460" xr:uid="{43E90B6B-937A-4575-9E18-B1D752C5E16A}"/>
    <cellStyle name="Normal 4 3 8" xfId="2525" xr:uid="{00000000-0005-0000-0000-0000BD140000}"/>
    <cellStyle name="Normal 4 3 8 2" xfId="6808" xr:uid="{00000000-0005-0000-0000-0000BE140000}"/>
    <cellStyle name="Normal 4 3 8 2 2" xfId="16090" xr:uid="{2274B7FF-2FDB-43C7-87AA-25BF853EE018}"/>
    <cellStyle name="Normal 4 3 8 3" xfId="11873" xr:uid="{1FD0F66A-E78E-4018-887F-ED9BA59BFC93}"/>
    <cellStyle name="Normal 4 3 9" xfId="4743" xr:uid="{00000000-0005-0000-0000-0000BF140000}"/>
    <cellStyle name="Normal 4 3 9 2" xfId="14025" xr:uid="{88825B68-C29E-4063-9776-100CD86B3C8B}"/>
    <cellStyle name="Normal 4 4" xfId="378" xr:uid="{00000000-0005-0000-0000-0000C0140000}"/>
    <cellStyle name="Normal 4 4 10" xfId="2534" xr:uid="{00000000-0005-0000-0000-0000C1140000}"/>
    <cellStyle name="Normal 4 4 10 2" xfId="6817" xr:uid="{00000000-0005-0000-0000-0000C2140000}"/>
    <cellStyle name="Normal 4 4 10 2 2" xfId="16099" xr:uid="{24322CE2-8ECC-4345-846A-90CDD973F307}"/>
    <cellStyle name="Normal 4 4 10 3" xfId="11882" xr:uid="{5583EC0B-79EC-4CC2-9F27-248401EE370B}"/>
    <cellStyle name="Normal 4 4 11" xfId="4752" xr:uid="{00000000-0005-0000-0000-0000C3140000}"/>
    <cellStyle name="Normal 4 4 11 2" xfId="14034" xr:uid="{FA9AB7DF-5CF8-4853-9DE2-C4A98A0DDE4F}"/>
    <cellStyle name="Normal 4 4 12" xfId="9817" xr:uid="{093A79D3-85C9-4DC7-B31D-106C34CD6698}"/>
    <cellStyle name="Normal 4 4 13" xfId="8983" xr:uid="{EB31D1BD-6E32-4D74-83BC-2D927733333B}"/>
    <cellStyle name="Normal 4 4 2" xfId="379" xr:uid="{00000000-0005-0000-0000-0000C4140000}"/>
    <cellStyle name="Normal 4 4 2 10" xfId="4753" xr:uid="{00000000-0005-0000-0000-0000C5140000}"/>
    <cellStyle name="Normal 4 4 2 10 2" xfId="14035" xr:uid="{E391CF53-6EA0-4BF0-BF04-D27E20AE58F3}"/>
    <cellStyle name="Normal 4 4 2 11" xfId="9818" xr:uid="{26072C55-44B1-40E7-8D11-3C6E6D88DCB0}"/>
    <cellStyle name="Normal 4 4 2 12" xfId="8984" xr:uid="{F4DEBDD9-F222-46C1-8155-0F472E4317C8}"/>
    <cellStyle name="Normal 4 4 2 2" xfId="380" xr:uid="{00000000-0005-0000-0000-0000C6140000}"/>
    <cellStyle name="Normal 4 4 2 2 10" xfId="9819" xr:uid="{FEB93ACC-D566-4912-8CF6-7341A64E46AC}"/>
    <cellStyle name="Normal 4 4 2 2 11" xfId="8985" xr:uid="{BA77BD32-CD9E-4BD0-8F72-3501119CC543}"/>
    <cellStyle name="Normal 4 4 2 2 2" xfId="381" xr:uid="{00000000-0005-0000-0000-0000C7140000}"/>
    <cellStyle name="Normal 4 4 2 2 2 10" xfId="8986" xr:uid="{0C97DE96-9A55-41B8-98F5-7F69A6BB1C88}"/>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596" xr:uid="{824D4789-619E-4861-91EF-FA860C20C3DC}"/>
    <cellStyle name="Normal 4 4 2 2 2 2 2 2 3" xfId="12379" xr:uid="{1401C1A8-F741-4D35-BA77-89664C10F228}"/>
    <cellStyle name="Normal 4 4 2 2 2 2 2 3" xfId="5169" xr:uid="{00000000-0005-0000-0000-0000CC140000}"/>
    <cellStyle name="Normal 4 4 2 2 2 2 2 3 2" xfId="14451" xr:uid="{90CEC084-5E8C-4430-A35F-0924B712BB0C}"/>
    <cellStyle name="Normal 4 4 2 2 2 2 2 4" xfId="10234" xr:uid="{10EFE17B-3529-4F4B-B524-E92EC6C4FD49}"/>
    <cellStyle name="Normal 4 4 2 2 2 2 2 5" xfId="9406" xr:uid="{2F586A65-7F52-498A-920F-F49A7796758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09" xr:uid="{72F2E75C-02A0-4950-81CE-84A51A6B4833}"/>
    <cellStyle name="Normal 4 4 2 2 2 2 3 2 3" xfId="12792" xr:uid="{8680C0EF-C117-411D-982C-089809D50A0A}"/>
    <cellStyle name="Normal 4 4 2 2 2 2 3 3" xfId="5582" xr:uid="{00000000-0005-0000-0000-0000D0140000}"/>
    <cellStyle name="Normal 4 4 2 2 2 2 3 3 2" xfId="14864" xr:uid="{67BF3BF0-A4E1-4EB2-92E0-356F4A1E516F}"/>
    <cellStyle name="Normal 4 4 2 2 2 2 3 4" xfId="10647" xr:uid="{686F9178-0A2E-46F9-8B5B-E1404A3DB5BE}"/>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22" xr:uid="{D0807071-62D8-4F33-8196-6D911354B122}"/>
    <cellStyle name="Normal 4 4 2 2 2 2 4 2 3" xfId="13205" xr:uid="{71E1B55E-45F0-4707-8F3F-8DBD05DBFF01}"/>
    <cellStyle name="Normal 4 4 2 2 2 2 4 3" xfId="5995" xr:uid="{00000000-0005-0000-0000-0000D4140000}"/>
    <cellStyle name="Normal 4 4 2 2 2 2 4 3 2" xfId="15277" xr:uid="{C4B4CEAF-5AA6-4ED6-83DD-34D27C014586}"/>
    <cellStyle name="Normal 4 4 2 2 2 2 4 4" xfId="11060" xr:uid="{62E63C89-CB2D-486F-8E51-3356896B767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35" xr:uid="{22378E8F-A57D-4885-9826-260E2033B6C5}"/>
    <cellStyle name="Normal 4 4 2 2 2 2 5 2 3" xfId="13618" xr:uid="{751B6CAB-7780-4B01-A5A6-BA238AECB586}"/>
    <cellStyle name="Normal 4 4 2 2 2 2 5 3" xfId="6408" xr:uid="{00000000-0005-0000-0000-0000D8140000}"/>
    <cellStyle name="Normal 4 4 2 2 2 2 5 3 2" xfId="15690" xr:uid="{9299BCB6-751E-445F-BE00-E92878DD543D}"/>
    <cellStyle name="Normal 4 4 2 2 2 2 5 4" xfId="11473" xr:uid="{624EE3AE-11F6-4216-B651-E38B0FEE67EF}"/>
    <cellStyle name="Normal 4 4 2 2 2 2 6" xfId="2538" xr:uid="{00000000-0005-0000-0000-0000D9140000}"/>
    <cellStyle name="Normal 4 4 2 2 2 2 6 2" xfId="6821" xr:uid="{00000000-0005-0000-0000-0000DA140000}"/>
    <cellStyle name="Normal 4 4 2 2 2 2 6 2 2" xfId="16103" xr:uid="{40D62B62-36A5-459C-B239-B2098C745995}"/>
    <cellStyle name="Normal 4 4 2 2 2 2 6 3" xfId="11886" xr:uid="{1C210CF2-B45B-4433-87AC-D37406975B04}"/>
    <cellStyle name="Normal 4 4 2 2 2 2 7" xfId="4756" xr:uid="{00000000-0005-0000-0000-0000DB140000}"/>
    <cellStyle name="Normal 4 4 2 2 2 2 7 2" xfId="14038" xr:uid="{1D4AE7E9-84AF-42A9-BEC0-ACBC6E6D46A0}"/>
    <cellStyle name="Normal 4 4 2 2 2 2 8" xfId="9821" xr:uid="{135EF702-DB00-4B1C-B375-30641CD7D019}"/>
    <cellStyle name="Normal 4 4 2 2 2 2 9" xfId="8987" xr:uid="{E825FC2A-9D51-4D06-B8C1-436B7C12A2A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595" xr:uid="{F0A88207-AD49-49D9-857E-C62BDE1A93E6}"/>
    <cellStyle name="Normal 4 4 2 2 2 3 2 3" xfId="12378" xr:uid="{B1F84BF6-E9D5-474C-8D4B-C2A46E473A68}"/>
    <cellStyle name="Normal 4 4 2 2 2 3 3" xfId="5168" xr:uid="{00000000-0005-0000-0000-0000DF140000}"/>
    <cellStyle name="Normal 4 4 2 2 2 3 3 2" xfId="14450" xr:uid="{55452021-1F7F-4C72-A911-0A15E81A8177}"/>
    <cellStyle name="Normal 4 4 2 2 2 3 4" xfId="10233" xr:uid="{159F473F-4C77-44B4-AB4D-B772C26A960E}"/>
    <cellStyle name="Normal 4 4 2 2 2 3 5" xfId="9405" xr:uid="{ADD83969-EE1D-491A-B34A-6DB2EF067481}"/>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08" xr:uid="{11B5FDC3-952A-48D3-8880-D62AAFD02444}"/>
    <cellStyle name="Normal 4 4 2 2 2 4 2 3" xfId="12791" xr:uid="{3534BD75-8C97-4168-9977-275AE2917A5C}"/>
    <cellStyle name="Normal 4 4 2 2 2 4 3" xfId="5581" xr:uid="{00000000-0005-0000-0000-0000E3140000}"/>
    <cellStyle name="Normal 4 4 2 2 2 4 3 2" xfId="14863" xr:uid="{65E86868-13EE-4EF0-8933-A075D58324B0}"/>
    <cellStyle name="Normal 4 4 2 2 2 4 4" xfId="10646" xr:uid="{F48ADC77-B819-46FA-8C83-9DE827A6D2F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21" xr:uid="{A856CD62-55C2-4F83-9AD3-B6E2F60AA633}"/>
    <cellStyle name="Normal 4 4 2 2 2 5 2 3" xfId="13204" xr:uid="{78E5B295-F8FF-4716-973C-2A001E4E7250}"/>
    <cellStyle name="Normal 4 4 2 2 2 5 3" xfId="5994" xr:uid="{00000000-0005-0000-0000-0000E7140000}"/>
    <cellStyle name="Normal 4 4 2 2 2 5 3 2" xfId="15276" xr:uid="{518CE27F-CE02-42D5-8747-139AC36B3205}"/>
    <cellStyle name="Normal 4 4 2 2 2 5 4" xfId="11059" xr:uid="{8870E5F8-1469-4688-8215-DF89A43185C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34" xr:uid="{681A6B6A-4FAA-4E89-A3A9-8CEFF93B47A7}"/>
    <cellStyle name="Normal 4 4 2 2 2 6 2 3" xfId="13617" xr:uid="{94006002-BADE-4A97-8226-CE4B00519924}"/>
    <cellStyle name="Normal 4 4 2 2 2 6 3" xfId="6407" xr:uid="{00000000-0005-0000-0000-0000EB140000}"/>
    <cellStyle name="Normal 4 4 2 2 2 6 3 2" xfId="15689" xr:uid="{11845CFC-590B-4F4F-BBEB-BE335E1806AE}"/>
    <cellStyle name="Normal 4 4 2 2 2 6 4" xfId="11472" xr:uid="{48C0F534-82D0-488D-B0B5-2BC13AFD8FF3}"/>
    <cellStyle name="Normal 4 4 2 2 2 7" xfId="2537" xr:uid="{00000000-0005-0000-0000-0000EC140000}"/>
    <cellStyle name="Normal 4 4 2 2 2 7 2" xfId="6820" xr:uid="{00000000-0005-0000-0000-0000ED140000}"/>
    <cellStyle name="Normal 4 4 2 2 2 7 2 2" xfId="16102" xr:uid="{3D905585-72D5-454F-A3D0-F4BD948B1812}"/>
    <cellStyle name="Normal 4 4 2 2 2 7 3" xfId="11885" xr:uid="{6806898D-A48F-4AEC-B8C1-F10F1325C80B}"/>
    <cellStyle name="Normal 4 4 2 2 2 8" xfId="4755" xr:uid="{00000000-0005-0000-0000-0000EE140000}"/>
    <cellStyle name="Normal 4 4 2 2 2 8 2" xfId="14037" xr:uid="{20B70CC2-59EB-4B05-8112-C0426F1ABB4F}"/>
    <cellStyle name="Normal 4 4 2 2 2 9" xfId="9820" xr:uid="{A13A4EE7-54C4-45B5-BB55-D385AF724959}"/>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597" xr:uid="{B93FC04E-6297-44F9-80ED-C1A7861DD749}"/>
    <cellStyle name="Normal 4 4 2 2 3 2 2 3" xfId="12380" xr:uid="{F18F0ED6-47E0-43A4-B2F8-9BF3C5F0501D}"/>
    <cellStyle name="Normal 4 4 2 2 3 2 3" xfId="5170" xr:uid="{00000000-0005-0000-0000-0000F3140000}"/>
    <cellStyle name="Normal 4 4 2 2 3 2 3 2" xfId="14452" xr:uid="{3D518232-C78B-4A57-B7AB-2719544ABEFB}"/>
    <cellStyle name="Normal 4 4 2 2 3 2 4" xfId="10235" xr:uid="{09304633-1A98-4EBF-AC23-E64E4319512C}"/>
    <cellStyle name="Normal 4 4 2 2 3 2 5" xfId="9407" xr:uid="{F48F1EA5-29FA-4392-A665-E3834617023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10" xr:uid="{E155707D-520B-4007-B014-93C225B80F3A}"/>
    <cellStyle name="Normal 4 4 2 2 3 3 2 3" xfId="12793" xr:uid="{63027FDD-0010-4DC5-AF0E-41A0EFBA928E}"/>
    <cellStyle name="Normal 4 4 2 2 3 3 3" xfId="5583" xr:uid="{00000000-0005-0000-0000-0000F7140000}"/>
    <cellStyle name="Normal 4 4 2 2 3 3 3 2" xfId="14865" xr:uid="{B2EB6558-B015-4AD5-A654-577C3ADE00CD}"/>
    <cellStyle name="Normal 4 4 2 2 3 3 4" xfId="10648" xr:uid="{60547BC0-1332-4F16-A164-92C832BF75EF}"/>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23" xr:uid="{F28FBFE7-DB3F-4DC9-8A1E-C0DCED819E7F}"/>
    <cellStyle name="Normal 4 4 2 2 3 4 2 3" xfId="13206" xr:uid="{4FD61B1B-C662-44DF-99E8-FA26098CA71B}"/>
    <cellStyle name="Normal 4 4 2 2 3 4 3" xfId="5996" xr:uid="{00000000-0005-0000-0000-0000FB140000}"/>
    <cellStyle name="Normal 4 4 2 2 3 4 3 2" xfId="15278" xr:uid="{1618B652-12D9-4D11-830D-9F7DE799B291}"/>
    <cellStyle name="Normal 4 4 2 2 3 4 4" xfId="11061" xr:uid="{B95D95D9-C6BC-43C8-8D0D-1DD66BDE86B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36" xr:uid="{8E40EEB2-DCE6-4D1F-AFB2-7DD29F11086B}"/>
    <cellStyle name="Normal 4 4 2 2 3 5 2 3" xfId="13619" xr:uid="{BE9D4189-EE95-4A7E-BEFD-9E3FC95F4C9E}"/>
    <cellStyle name="Normal 4 4 2 2 3 5 3" xfId="6409" xr:uid="{00000000-0005-0000-0000-0000FF140000}"/>
    <cellStyle name="Normal 4 4 2 2 3 5 3 2" xfId="15691" xr:uid="{74D4D717-7AD7-4E9C-9B68-4DA9716DC76E}"/>
    <cellStyle name="Normal 4 4 2 2 3 5 4" xfId="11474" xr:uid="{67DA1A18-D572-45E1-BB88-392E31A9BF9F}"/>
    <cellStyle name="Normal 4 4 2 2 3 6" xfId="2539" xr:uid="{00000000-0005-0000-0000-000000150000}"/>
    <cellStyle name="Normal 4 4 2 2 3 6 2" xfId="6822" xr:uid="{00000000-0005-0000-0000-000001150000}"/>
    <cellStyle name="Normal 4 4 2 2 3 6 2 2" xfId="16104" xr:uid="{FE2C4225-2D56-4123-8391-4C69CD8ED212}"/>
    <cellStyle name="Normal 4 4 2 2 3 6 3" xfId="11887" xr:uid="{A558E23F-14EF-4332-939E-31072E09C7E5}"/>
    <cellStyle name="Normal 4 4 2 2 3 7" xfId="4757" xr:uid="{00000000-0005-0000-0000-000002150000}"/>
    <cellStyle name="Normal 4 4 2 2 3 7 2" xfId="14039" xr:uid="{F5D9ED3B-C467-454A-BE2F-F1A6CF4D920F}"/>
    <cellStyle name="Normal 4 4 2 2 3 8" xfId="9822" xr:uid="{A68BF159-A2AC-4F94-96D0-4D815E894654}"/>
    <cellStyle name="Normal 4 4 2 2 3 9" xfId="8988" xr:uid="{15D348C3-7DB5-4E15-9F3A-976031D5C09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594" xr:uid="{03D48890-A4A5-48B8-8529-E3EEB8248B21}"/>
    <cellStyle name="Normal 4 4 2 2 4 2 3" xfId="12377" xr:uid="{AAA400FF-5F63-46C5-BEEF-E59AE0CEDF19}"/>
    <cellStyle name="Normal 4 4 2 2 4 3" xfId="5167" xr:uid="{00000000-0005-0000-0000-000006150000}"/>
    <cellStyle name="Normal 4 4 2 2 4 3 2" xfId="14449" xr:uid="{4247B66F-0273-44ED-BD26-CA4D030907AE}"/>
    <cellStyle name="Normal 4 4 2 2 4 4" xfId="10232" xr:uid="{60B3426E-62B9-4C41-BF1E-DD62EE1D33FA}"/>
    <cellStyle name="Normal 4 4 2 2 4 5" xfId="9404" xr:uid="{BBE1EC9A-9EE7-4FEB-8D2D-8D25CB80C5F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07" xr:uid="{C5456020-0CC7-474C-A25D-7FE1E1B73323}"/>
    <cellStyle name="Normal 4 4 2 2 5 2 3" xfId="12790" xr:uid="{D0E16C93-6DDD-45DF-A0B8-5A4F1C4243D3}"/>
    <cellStyle name="Normal 4 4 2 2 5 3" xfId="5580" xr:uid="{00000000-0005-0000-0000-00000A150000}"/>
    <cellStyle name="Normal 4 4 2 2 5 3 2" xfId="14862" xr:uid="{9FEE649C-AD47-45A9-BE3E-0AEE161CAA5D}"/>
    <cellStyle name="Normal 4 4 2 2 5 4" xfId="10645" xr:uid="{1275F034-730C-472A-BAEA-059AF16AD76F}"/>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20" xr:uid="{4199854E-9464-44C8-9822-AB3BAE559A8A}"/>
    <cellStyle name="Normal 4 4 2 2 6 2 3" xfId="13203" xr:uid="{9B1B31A8-3678-4E1F-BFF1-BF6CF019605D}"/>
    <cellStyle name="Normal 4 4 2 2 6 3" xfId="5993" xr:uid="{00000000-0005-0000-0000-00000E150000}"/>
    <cellStyle name="Normal 4 4 2 2 6 3 2" xfId="15275" xr:uid="{293B135F-9C83-4CCA-BDB0-78D9E5AE1EB3}"/>
    <cellStyle name="Normal 4 4 2 2 6 4" xfId="11058" xr:uid="{489FC5C5-CBA3-4F81-AB57-A1FC705E785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33" xr:uid="{480CCCE1-D61D-4098-831E-5D5BA10B2058}"/>
    <cellStyle name="Normal 4 4 2 2 7 2 3" xfId="13616" xr:uid="{5C71780B-8ED3-4BA8-811C-2761E5EB8E8B}"/>
    <cellStyle name="Normal 4 4 2 2 7 3" xfId="6406" xr:uid="{00000000-0005-0000-0000-000012150000}"/>
    <cellStyle name="Normal 4 4 2 2 7 3 2" xfId="15688" xr:uid="{F2A8A001-C0E3-443D-A6E7-28CA5E858E39}"/>
    <cellStyle name="Normal 4 4 2 2 7 4" xfId="11471" xr:uid="{20F9398B-D065-4629-9616-7B3D09CBEFDE}"/>
    <cellStyle name="Normal 4 4 2 2 8" xfId="2536" xr:uid="{00000000-0005-0000-0000-000013150000}"/>
    <cellStyle name="Normal 4 4 2 2 8 2" xfId="6819" xr:uid="{00000000-0005-0000-0000-000014150000}"/>
    <cellStyle name="Normal 4 4 2 2 8 2 2" xfId="16101" xr:uid="{F34AB3BB-E4DD-4581-B62B-8C329448C680}"/>
    <cellStyle name="Normal 4 4 2 2 8 3" xfId="11884" xr:uid="{BB69B320-8107-408C-9763-E8E32D03B5DE}"/>
    <cellStyle name="Normal 4 4 2 2 9" xfId="4754" xr:uid="{00000000-0005-0000-0000-000015150000}"/>
    <cellStyle name="Normal 4 4 2 2 9 2" xfId="14036" xr:uid="{73CE06E6-6F25-470B-8BEB-0624DF8C0061}"/>
    <cellStyle name="Normal 4 4 2 3" xfId="384" xr:uid="{00000000-0005-0000-0000-000016150000}"/>
    <cellStyle name="Normal 4 4 2 3 10" xfId="8989" xr:uid="{F8A70F15-3183-4E16-9467-1B17F5842554}"/>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599" xr:uid="{913490E8-5143-4A09-80A6-5C94867F5584}"/>
    <cellStyle name="Normal 4 4 2 3 2 2 2 3" xfId="12382" xr:uid="{BA8D18BF-648F-4CFC-97A7-D82EADD7ABB2}"/>
    <cellStyle name="Normal 4 4 2 3 2 2 3" xfId="5172" xr:uid="{00000000-0005-0000-0000-00001B150000}"/>
    <cellStyle name="Normal 4 4 2 3 2 2 3 2" xfId="14454" xr:uid="{69AFE941-7C8D-44C9-A0F3-D7AF4BB195BC}"/>
    <cellStyle name="Normal 4 4 2 3 2 2 4" xfId="10237" xr:uid="{80902D0C-57E8-469A-8846-28B0C1E67F1D}"/>
    <cellStyle name="Normal 4 4 2 3 2 2 5" xfId="9409" xr:uid="{6A4ED2D5-715D-4EF2-989F-267366A4D04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12" xr:uid="{B74C2C8F-939C-4F3E-B53D-9F194FE3BF12}"/>
    <cellStyle name="Normal 4 4 2 3 2 3 2 3" xfId="12795" xr:uid="{E06E3912-DC39-4556-AD98-2F91BA2C15B8}"/>
    <cellStyle name="Normal 4 4 2 3 2 3 3" xfId="5585" xr:uid="{00000000-0005-0000-0000-00001F150000}"/>
    <cellStyle name="Normal 4 4 2 3 2 3 3 2" xfId="14867" xr:uid="{1F11526C-F6AD-461B-845D-063E0AEFD56E}"/>
    <cellStyle name="Normal 4 4 2 3 2 3 4" xfId="10650" xr:uid="{4F179AC0-2441-48F3-BF0B-B835F155DF66}"/>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25" xr:uid="{5A1FA9AB-7B29-46F4-B905-7D4FCAE90774}"/>
    <cellStyle name="Normal 4 4 2 3 2 4 2 3" xfId="13208" xr:uid="{26FBADB1-3488-416E-A117-A0E5845EA92C}"/>
    <cellStyle name="Normal 4 4 2 3 2 4 3" xfId="5998" xr:uid="{00000000-0005-0000-0000-000023150000}"/>
    <cellStyle name="Normal 4 4 2 3 2 4 3 2" xfId="15280" xr:uid="{8F366CDB-D8D5-44AB-AFD7-68683091114F}"/>
    <cellStyle name="Normal 4 4 2 3 2 4 4" xfId="11063" xr:uid="{52A11328-8B3B-458A-8868-3765DB5F093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38" xr:uid="{A1EB4A28-ABF9-47E7-A15F-DBF7A8E1FA02}"/>
    <cellStyle name="Normal 4 4 2 3 2 5 2 3" xfId="13621" xr:uid="{65EA067B-6ABA-4B0E-92A1-99D488748ADB}"/>
    <cellStyle name="Normal 4 4 2 3 2 5 3" xfId="6411" xr:uid="{00000000-0005-0000-0000-000027150000}"/>
    <cellStyle name="Normal 4 4 2 3 2 5 3 2" xfId="15693" xr:uid="{3550DAB1-06EA-4FEC-94EF-B05628237ECC}"/>
    <cellStyle name="Normal 4 4 2 3 2 5 4" xfId="11476" xr:uid="{75438604-B27F-4A8B-A494-2087AC62B146}"/>
    <cellStyle name="Normal 4 4 2 3 2 6" xfId="2541" xr:uid="{00000000-0005-0000-0000-000028150000}"/>
    <cellStyle name="Normal 4 4 2 3 2 6 2" xfId="6824" xr:uid="{00000000-0005-0000-0000-000029150000}"/>
    <cellStyle name="Normal 4 4 2 3 2 6 2 2" xfId="16106" xr:uid="{C6868E58-6705-4906-B817-03C3E72D0015}"/>
    <cellStyle name="Normal 4 4 2 3 2 6 3" xfId="11889" xr:uid="{1D16C37D-651D-4359-BD41-1229352D53FC}"/>
    <cellStyle name="Normal 4 4 2 3 2 7" xfId="4759" xr:uid="{00000000-0005-0000-0000-00002A150000}"/>
    <cellStyle name="Normal 4 4 2 3 2 7 2" xfId="14041" xr:uid="{811DABA4-04C4-4586-8210-F2B3DEA84157}"/>
    <cellStyle name="Normal 4 4 2 3 2 8" xfId="9824" xr:uid="{5D9045CC-5B34-4A8B-8B05-FABFD2973790}"/>
    <cellStyle name="Normal 4 4 2 3 2 9" xfId="8990" xr:uid="{2AB024EB-461B-4BBB-A73C-DC43E5510B5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598" xr:uid="{0946721E-A054-415A-803A-B9F59B965ED9}"/>
    <cellStyle name="Normal 4 4 2 3 3 2 3" xfId="12381" xr:uid="{C6A9F451-6C75-492C-B1B9-FEE02492EF84}"/>
    <cellStyle name="Normal 4 4 2 3 3 3" xfId="5171" xr:uid="{00000000-0005-0000-0000-00002E150000}"/>
    <cellStyle name="Normal 4 4 2 3 3 3 2" xfId="14453" xr:uid="{05BCFA68-D982-438B-9E4A-C82611EF2EA0}"/>
    <cellStyle name="Normal 4 4 2 3 3 4" xfId="10236" xr:uid="{87ECDB3F-EDEA-49A8-9F23-34F444912801}"/>
    <cellStyle name="Normal 4 4 2 3 3 5" xfId="9408" xr:uid="{9F506899-0EAD-4E78-B358-32BBB931902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11" xr:uid="{ACFDC50F-5688-49D0-A598-D0BF8346A077}"/>
    <cellStyle name="Normal 4 4 2 3 4 2 3" xfId="12794" xr:uid="{59B79271-84BC-43E1-8C5B-F48B42FB0833}"/>
    <cellStyle name="Normal 4 4 2 3 4 3" xfId="5584" xr:uid="{00000000-0005-0000-0000-000032150000}"/>
    <cellStyle name="Normal 4 4 2 3 4 3 2" xfId="14866" xr:uid="{6B01B863-2847-40D4-B3AF-78201A0A2266}"/>
    <cellStyle name="Normal 4 4 2 3 4 4" xfId="10649" xr:uid="{E9FC9C86-A8DC-46B2-8749-C7F4050EA5D0}"/>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24" xr:uid="{3356DC39-9FD2-4887-9A22-3E487E72AEAE}"/>
    <cellStyle name="Normal 4 4 2 3 5 2 3" xfId="13207" xr:uid="{A83B71CE-470C-439B-9DD2-C200BE88BD98}"/>
    <cellStyle name="Normal 4 4 2 3 5 3" xfId="5997" xr:uid="{00000000-0005-0000-0000-000036150000}"/>
    <cellStyle name="Normal 4 4 2 3 5 3 2" xfId="15279" xr:uid="{A5F6F6EA-CB21-4E52-AC37-B2D28890EB81}"/>
    <cellStyle name="Normal 4 4 2 3 5 4" xfId="11062" xr:uid="{6A711818-2B6E-49E8-A3DB-22FF94C5456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37" xr:uid="{9F361F48-0674-4742-968E-285AC90528EB}"/>
    <cellStyle name="Normal 4 4 2 3 6 2 3" xfId="13620" xr:uid="{C9E3923F-83DE-4872-B08C-F8A092BEAF7F}"/>
    <cellStyle name="Normal 4 4 2 3 6 3" xfId="6410" xr:uid="{00000000-0005-0000-0000-00003A150000}"/>
    <cellStyle name="Normal 4 4 2 3 6 3 2" xfId="15692" xr:uid="{1CD0709E-7E2F-4B5B-9AE6-F0FF28865F43}"/>
    <cellStyle name="Normal 4 4 2 3 6 4" xfId="11475" xr:uid="{9B4FC25F-63D8-4DC1-89F4-C5EEFE3CCB86}"/>
    <cellStyle name="Normal 4 4 2 3 7" xfId="2540" xr:uid="{00000000-0005-0000-0000-00003B150000}"/>
    <cellStyle name="Normal 4 4 2 3 7 2" xfId="6823" xr:uid="{00000000-0005-0000-0000-00003C150000}"/>
    <cellStyle name="Normal 4 4 2 3 7 2 2" xfId="16105" xr:uid="{BBB7B444-7C85-470D-AEA2-469B8126700C}"/>
    <cellStyle name="Normal 4 4 2 3 7 3" xfId="11888" xr:uid="{C67F5C61-4969-4806-964A-89B24577AD08}"/>
    <cellStyle name="Normal 4 4 2 3 8" xfId="4758" xr:uid="{00000000-0005-0000-0000-00003D150000}"/>
    <cellStyle name="Normal 4 4 2 3 8 2" xfId="14040" xr:uid="{BA6A7750-D879-4E97-9E2F-DA4864A54E4B}"/>
    <cellStyle name="Normal 4 4 2 3 9" xfId="9823" xr:uid="{874CB180-A566-4BE0-9938-24427C5F8CB1}"/>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00" xr:uid="{566CCABE-9BEC-4CC2-BD03-70E7B7B8F0F1}"/>
    <cellStyle name="Normal 4 4 2 4 2 2 3" xfId="12383" xr:uid="{0AA5FC1F-1BF3-4B94-BF33-E33D493C7125}"/>
    <cellStyle name="Normal 4 4 2 4 2 3" xfId="5173" xr:uid="{00000000-0005-0000-0000-000042150000}"/>
    <cellStyle name="Normal 4 4 2 4 2 3 2" xfId="14455" xr:uid="{71BFD25C-1E56-43AD-A5E2-4CA620B065A3}"/>
    <cellStyle name="Normal 4 4 2 4 2 4" xfId="10238" xr:uid="{C1174B96-9C6A-4F57-87F4-E1CE96C267F7}"/>
    <cellStyle name="Normal 4 4 2 4 2 5" xfId="9410" xr:uid="{7DF7D884-A3EA-4BE2-861D-BE4D6D62BF28}"/>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13" xr:uid="{9BF71929-F09E-48A0-8BC6-93596CFB4405}"/>
    <cellStyle name="Normal 4 4 2 4 3 2 3" xfId="12796" xr:uid="{D671C391-91B1-425D-B565-0DD1AF25A5EA}"/>
    <cellStyle name="Normal 4 4 2 4 3 3" xfId="5586" xr:uid="{00000000-0005-0000-0000-000046150000}"/>
    <cellStyle name="Normal 4 4 2 4 3 3 2" xfId="14868" xr:uid="{4C097315-7F3B-4487-8F8A-00ADF6296A51}"/>
    <cellStyle name="Normal 4 4 2 4 3 4" xfId="10651" xr:uid="{2299D598-5EAC-4C80-9194-3A9626F086D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26" xr:uid="{CEC92BEC-73D9-404A-9C67-3EA090423925}"/>
    <cellStyle name="Normal 4 4 2 4 4 2 3" xfId="13209" xr:uid="{C360BB8D-F1A2-44CA-B4BD-FE78031FEAC6}"/>
    <cellStyle name="Normal 4 4 2 4 4 3" xfId="5999" xr:uid="{00000000-0005-0000-0000-00004A150000}"/>
    <cellStyle name="Normal 4 4 2 4 4 3 2" xfId="15281" xr:uid="{98C2D2B7-EE39-4A93-AC7F-1EC46DF896B8}"/>
    <cellStyle name="Normal 4 4 2 4 4 4" xfId="11064" xr:uid="{8A126122-AA1B-4B72-8FAB-5970C551DD58}"/>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39" xr:uid="{27C37FCD-6241-46C6-BAEC-E9960B0CC8A4}"/>
    <cellStyle name="Normal 4 4 2 4 5 2 3" xfId="13622" xr:uid="{64A78F37-C00D-4B13-AB8B-8CBB50453201}"/>
    <cellStyle name="Normal 4 4 2 4 5 3" xfId="6412" xr:uid="{00000000-0005-0000-0000-00004E150000}"/>
    <cellStyle name="Normal 4 4 2 4 5 3 2" xfId="15694" xr:uid="{78F2E37B-42E3-4928-AAAB-FDD17C07E8BC}"/>
    <cellStyle name="Normal 4 4 2 4 5 4" xfId="11477" xr:uid="{3D0F9EF2-5F58-4BAC-A23C-376736A2C07C}"/>
    <cellStyle name="Normal 4 4 2 4 6" xfId="2542" xr:uid="{00000000-0005-0000-0000-00004F150000}"/>
    <cellStyle name="Normal 4 4 2 4 6 2" xfId="6825" xr:uid="{00000000-0005-0000-0000-000050150000}"/>
    <cellStyle name="Normal 4 4 2 4 6 2 2" xfId="16107" xr:uid="{3F96857B-6345-4A16-AE8B-8F14EE4AD899}"/>
    <cellStyle name="Normal 4 4 2 4 6 3" xfId="11890" xr:uid="{486C56C9-EA97-471F-BBDE-103FE1F1B0A1}"/>
    <cellStyle name="Normal 4 4 2 4 7" xfId="4760" xr:uid="{00000000-0005-0000-0000-000051150000}"/>
    <cellStyle name="Normal 4 4 2 4 7 2" xfId="14042" xr:uid="{C03CF702-2BAF-4221-B618-1E8054D14D3F}"/>
    <cellStyle name="Normal 4 4 2 4 8" xfId="9825" xr:uid="{89E7C479-088E-4874-BC1B-72CD713DB8A6}"/>
    <cellStyle name="Normal 4 4 2 4 9" xfId="8991" xr:uid="{FDB230F4-A442-4E7A-A748-2C1C21315D1F}"/>
    <cellStyle name="Normal 4 4 2 5" xfId="854" xr:uid="{00000000-0005-0000-0000-000052150000}"/>
    <cellStyle name="Normal 4 4 2 5 2" xfId="3089" xr:uid="{00000000-0005-0000-0000-000053150000}"/>
    <cellStyle name="Normal 4 4 2 5 2 2" xfId="7311" xr:uid="{00000000-0005-0000-0000-000054150000}"/>
    <cellStyle name="Normal 4 4 2 5 2 2 2" xfId="16593" xr:uid="{3E640764-2F28-4BB6-B311-3A1266AAAF05}"/>
    <cellStyle name="Normal 4 4 2 5 2 3" xfId="12376" xr:uid="{746F942B-5014-4760-9E98-AB455E90B94F}"/>
    <cellStyle name="Normal 4 4 2 5 3" xfId="5166" xr:uid="{00000000-0005-0000-0000-000055150000}"/>
    <cellStyle name="Normal 4 4 2 5 3 2" xfId="14448" xr:uid="{81D258D0-1C19-4864-95D6-47CFD6AD67DD}"/>
    <cellStyle name="Normal 4 4 2 5 4" xfId="10231" xr:uid="{1A523338-0503-4BC8-B865-24FADDD920C5}"/>
    <cellStyle name="Normal 4 4 2 5 5" xfId="9403" xr:uid="{E47D8522-7260-46C4-841F-081404487C57}"/>
    <cellStyle name="Normal 4 4 2 6" xfId="1272" xr:uid="{00000000-0005-0000-0000-000056150000}"/>
    <cellStyle name="Normal 4 4 2 6 2" xfId="3502" xr:uid="{00000000-0005-0000-0000-000057150000}"/>
    <cellStyle name="Normal 4 4 2 6 2 2" xfId="7724" xr:uid="{00000000-0005-0000-0000-000058150000}"/>
    <cellStyle name="Normal 4 4 2 6 2 2 2" xfId="17006" xr:uid="{D4788F8A-EA09-4DEB-867D-5DEB928766DA}"/>
    <cellStyle name="Normal 4 4 2 6 2 3" xfId="12789" xr:uid="{FEEF8D8F-DC64-438E-9963-4E31D6ECBBE5}"/>
    <cellStyle name="Normal 4 4 2 6 3" xfId="5579" xr:uid="{00000000-0005-0000-0000-000059150000}"/>
    <cellStyle name="Normal 4 4 2 6 3 2" xfId="14861" xr:uid="{D05A7C50-ABB1-42F4-867E-2749C308FFDD}"/>
    <cellStyle name="Normal 4 4 2 6 4" xfId="10644" xr:uid="{0C6EE114-B36D-4AC5-B94B-662AF63D28F8}"/>
    <cellStyle name="Normal 4 4 2 7" xfId="1685" xr:uid="{00000000-0005-0000-0000-00005A150000}"/>
    <cellStyle name="Normal 4 4 2 7 2" xfId="3915" xr:uid="{00000000-0005-0000-0000-00005B150000}"/>
    <cellStyle name="Normal 4 4 2 7 2 2" xfId="8137" xr:uid="{00000000-0005-0000-0000-00005C150000}"/>
    <cellStyle name="Normal 4 4 2 7 2 2 2" xfId="17419" xr:uid="{48B264B7-02C5-4C76-9F07-0E635F7339E1}"/>
    <cellStyle name="Normal 4 4 2 7 2 3" xfId="13202" xr:uid="{FEF6EC3E-4438-4661-BBAB-362810270CCD}"/>
    <cellStyle name="Normal 4 4 2 7 3" xfId="5992" xr:uid="{00000000-0005-0000-0000-00005D150000}"/>
    <cellStyle name="Normal 4 4 2 7 3 2" xfId="15274" xr:uid="{5E31B204-19B6-435C-A3FD-13BF1FE69A06}"/>
    <cellStyle name="Normal 4 4 2 7 4" xfId="11057" xr:uid="{355BFBEC-460C-43EF-A8B7-96EDD7D8B77D}"/>
    <cellStyle name="Normal 4 4 2 8" xfId="2099" xr:uid="{00000000-0005-0000-0000-00005E150000}"/>
    <cellStyle name="Normal 4 4 2 8 2" xfId="4328" xr:uid="{00000000-0005-0000-0000-00005F150000}"/>
    <cellStyle name="Normal 4 4 2 8 2 2" xfId="8550" xr:uid="{00000000-0005-0000-0000-000060150000}"/>
    <cellStyle name="Normal 4 4 2 8 2 2 2" xfId="17832" xr:uid="{C0116510-E43F-4704-B182-55842E5F5227}"/>
    <cellStyle name="Normal 4 4 2 8 2 3" xfId="13615" xr:uid="{3DB32732-7B61-49DB-BBB6-6D3D7D0AA0A5}"/>
    <cellStyle name="Normal 4 4 2 8 3" xfId="6405" xr:uid="{00000000-0005-0000-0000-000061150000}"/>
    <cellStyle name="Normal 4 4 2 8 3 2" xfId="15687" xr:uid="{7F69BC85-BCCD-4F50-9DC4-E129DD1FE623}"/>
    <cellStyle name="Normal 4 4 2 8 4" xfId="11470" xr:uid="{C729E61D-42F6-45E4-A73F-40D573A51FE1}"/>
    <cellStyle name="Normal 4 4 2 9" xfId="2535" xr:uid="{00000000-0005-0000-0000-000062150000}"/>
    <cellStyle name="Normal 4 4 2 9 2" xfId="6818" xr:uid="{00000000-0005-0000-0000-000063150000}"/>
    <cellStyle name="Normal 4 4 2 9 2 2" xfId="16100" xr:uid="{CB56EE02-6472-4AD4-8C27-C3B5F617FB8F}"/>
    <cellStyle name="Normal 4 4 2 9 3" xfId="11883" xr:uid="{746F1C80-CC75-469C-A346-B0FF10E5C32D}"/>
    <cellStyle name="Normal 4 4 3" xfId="387" xr:uid="{00000000-0005-0000-0000-000064150000}"/>
    <cellStyle name="Normal 4 4 3 10" xfId="9826" xr:uid="{96645419-673F-49CF-9455-B511705DD80C}"/>
    <cellStyle name="Normal 4 4 3 11" xfId="8992" xr:uid="{530ED3F0-9EC9-43EB-BA0B-966D5686B9DF}"/>
    <cellStyle name="Normal 4 4 3 2" xfId="388" xr:uid="{00000000-0005-0000-0000-000065150000}"/>
    <cellStyle name="Normal 4 4 3 2 10" xfId="8993" xr:uid="{1F0B424B-64AB-4A5C-847D-1F85BB4293FE}"/>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03" xr:uid="{37ACE349-0C1C-4ECD-BD3C-EA2132EF18F1}"/>
    <cellStyle name="Normal 4 4 3 2 2 2 2 3" xfId="12386" xr:uid="{7B55F318-569A-4C57-84D5-1B10D402A353}"/>
    <cellStyle name="Normal 4 4 3 2 2 2 3" xfId="5176" xr:uid="{00000000-0005-0000-0000-00006A150000}"/>
    <cellStyle name="Normal 4 4 3 2 2 2 3 2" xfId="14458" xr:uid="{3D239E17-6C13-4376-8D98-1A93B4465652}"/>
    <cellStyle name="Normal 4 4 3 2 2 2 4" xfId="10241" xr:uid="{0A89D14A-7E13-45D5-B39C-0E70992E0A7C}"/>
    <cellStyle name="Normal 4 4 3 2 2 2 5" xfId="9413" xr:uid="{21C9CDDF-4353-4669-A7F2-A930270CC99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16" xr:uid="{DAC72AB6-FE5F-4F31-B11D-CB659EB0BA54}"/>
    <cellStyle name="Normal 4 4 3 2 2 3 2 3" xfId="12799" xr:uid="{E44F4A56-F4A7-4081-B95E-71475EFE5A6E}"/>
    <cellStyle name="Normal 4 4 3 2 2 3 3" xfId="5589" xr:uid="{00000000-0005-0000-0000-00006E150000}"/>
    <cellStyle name="Normal 4 4 3 2 2 3 3 2" xfId="14871" xr:uid="{BA403FC8-39F8-4495-89C1-E2C9B25B32EB}"/>
    <cellStyle name="Normal 4 4 3 2 2 3 4" xfId="10654" xr:uid="{9629B126-3F19-4921-B224-0554D4809C06}"/>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29" xr:uid="{EA62364D-EC0E-4BCF-BB47-05334435E5C9}"/>
    <cellStyle name="Normal 4 4 3 2 2 4 2 3" xfId="13212" xr:uid="{89AD1942-8C90-4BB7-A7A1-AF0B00D01BFC}"/>
    <cellStyle name="Normal 4 4 3 2 2 4 3" xfId="6002" xr:uid="{00000000-0005-0000-0000-000072150000}"/>
    <cellStyle name="Normal 4 4 3 2 2 4 3 2" xfId="15284" xr:uid="{FB0A1094-D36E-402E-BCD9-677B449D71C9}"/>
    <cellStyle name="Normal 4 4 3 2 2 4 4" xfId="11067" xr:uid="{C8FF283C-5358-4161-90F0-F5F5207B7BA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42" xr:uid="{965D9C35-4805-4AE6-81BF-F44B80818ABF}"/>
    <cellStyle name="Normal 4 4 3 2 2 5 2 3" xfId="13625" xr:uid="{12FDA0BD-6AAF-44BC-8712-ABEC173FF0DC}"/>
    <cellStyle name="Normal 4 4 3 2 2 5 3" xfId="6415" xr:uid="{00000000-0005-0000-0000-000076150000}"/>
    <cellStyle name="Normal 4 4 3 2 2 5 3 2" xfId="15697" xr:uid="{2D88F24A-54F7-4574-9E15-B82BEBC4C79C}"/>
    <cellStyle name="Normal 4 4 3 2 2 5 4" xfId="11480" xr:uid="{BB71F866-767F-4855-837F-C377F165B276}"/>
    <cellStyle name="Normal 4 4 3 2 2 6" xfId="2545" xr:uid="{00000000-0005-0000-0000-000077150000}"/>
    <cellStyle name="Normal 4 4 3 2 2 6 2" xfId="6828" xr:uid="{00000000-0005-0000-0000-000078150000}"/>
    <cellStyle name="Normal 4 4 3 2 2 6 2 2" xfId="16110" xr:uid="{0C644BF5-FF8A-4692-9E60-A906B07354A8}"/>
    <cellStyle name="Normal 4 4 3 2 2 6 3" xfId="11893" xr:uid="{497C8E42-E01E-4AB2-B23B-41915403A2C9}"/>
    <cellStyle name="Normal 4 4 3 2 2 7" xfId="4763" xr:uid="{00000000-0005-0000-0000-000079150000}"/>
    <cellStyle name="Normal 4 4 3 2 2 7 2" xfId="14045" xr:uid="{93341418-822B-4566-A0AE-8EF2ED097C66}"/>
    <cellStyle name="Normal 4 4 3 2 2 8" xfId="9828" xr:uid="{4A4C68FB-C375-4D00-B3A9-B8C25317195F}"/>
    <cellStyle name="Normal 4 4 3 2 2 9" xfId="8994" xr:uid="{0EDB0E0E-5C73-40AC-9271-9DD07F827387}"/>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02" xr:uid="{59042BDE-3837-4ED9-9B35-5EAB5F7A64FE}"/>
    <cellStyle name="Normal 4 4 3 2 3 2 3" xfId="12385" xr:uid="{E019A6F1-EA03-4CFD-93EC-8AB931CE4024}"/>
    <cellStyle name="Normal 4 4 3 2 3 3" xfId="5175" xr:uid="{00000000-0005-0000-0000-00007D150000}"/>
    <cellStyle name="Normal 4 4 3 2 3 3 2" xfId="14457" xr:uid="{97810419-6FC5-4302-8A52-E98D11EBDF87}"/>
    <cellStyle name="Normal 4 4 3 2 3 4" xfId="10240" xr:uid="{8D7E07C4-85CF-46B8-A54F-905754E6E273}"/>
    <cellStyle name="Normal 4 4 3 2 3 5" xfId="9412" xr:uid="{EE2A134F-DFC0-40CB-ACE5-4AB4D268DDD8}"/>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15" xr:uid="{C8BA8142-9734-4947-93E4-DB3C6EB6FF32}"/>
    <cellStyle name="Normal 4 4 3 2 4 2 3" xfId="12798" xr:uid="{013DD719-BDC5-4102-BE05-D62253FFB0F6}"/>
    <cellStyle name="Normal 4 4 3 2 4 3" xfId="5588" xr:uid="{00000000-0005-0000-0000-000081150000}"/>
    <cellStyle name="Normal 4 4 3 2 4 3 2" xfId="14870" xr:uid="{B41B6A8E-EA82-4028-BE2E-A850AB955E43}"/>
    <cellStyle name="Normal 4 4 3 2 4 4" xfId="10653" xr:uid="{54A52FAB-BC2A-41B0-9864-7285E08DAD7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28" xr:uid="{E97D395E-B097-4AEC-B2C8-3287F5E77741}"/>
    <cellStyle name="Normal 4 4 3 2 5 2 3" xfId="13211" xr:uid="{B23A3570-52AC-4EB5-AAB9-D6BD7AF9283A}"/>
    <cellStyle name="Normal 4 4 3 2 5 3" xfId="6001" xr:uid="{00000000-0005-0000-0000-000085150000}"/>
    <cellStyle name="Normal 4 4 3 2 5 3 2" xfId="15283" xr:uid="{13AD0774-FDEA-4232-809E-1674C524B153}"/>
    <cellStyle name="Normal 4 4 3 2 5 4" xfId="11066" xr:uid="{0FDC7E3E-6C4D-4887-86D2-B4BEA44BC7CF}"/>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41" xr:uid="{77DC8CA9-E1FA-4427-B9F3-A626CBF54ACA}"/>
    <cellStyle name="Normal 4 4 3 2 6 2 3" xfId="13624" xr:uid="{8F06E427-BFC2-42C6-849F-26B5B6976D46}"/>
    <cellStyle name="Normal 4 4 3 2 6 3" xfId="6414" xr:uid="{00000000-0005-0000-0000-000089150000}"/>
    <cellStyle name="Normal 4 4 3 2 6 3 2" xfId="15696" xr:uid="{0551BEFF-0919-4288-AE87-75FF76EEB891}"/>
    <cellStyle name="Normal 4 4 3 2 6 4" xfId="11479" xr:uid="{953E7B7C-78AB-4BBD-91CA-2F5780E66280}"/>
    <cellStyle name="Normal 4 4 3 2 7" xfId="2544" xr:uid="{00000000-0005-0000-0000-00008A150000}"/>
    <cellStyle name="Normal 4 4 3 2 7 2" xfId="6827" xr:uid="{00000000-0005-0000-0000-00008B150000}"/>
    <cellStyle name="Normal 4 4 3 2 7 2 2" xfId="16109" xr:uid="{62CF5D7B-B8C1-404B-B401-B2318659EA00}"/>
    <cellStyle name="Normal 4 4 3 2 7 3" xfId="11892" xr:uid="{74684D8B-5418-473F-A426-9C48221999B0}"/>
    <cellStyle name="Normal 4 4 3 2 8" xfId="4762" xr:uid="{00000000-0005-0000-0000-00008C150000}"/>
    <cellStyle name="Normal 4 4 3 2 8 2" xfId="14044" xr:uid="{9F720726-9E3D-42F5-A68B-9C300D2B39CA}"/>
    <cellStyle name="Normal 4 4 3 2 9" xfId="9827" xr:uid="{C55D7926-10A4-48A2-92B8-ED34149A103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04" xr:uid="{E02402CB-AB7C-453B-96B5-7351357852ED}"/>
    <cellStyle name="Normal 4 4 3 3 2 2 3" xfId="12387" xr:uid="{55F08934-732D-4960-809E-51B4B4446E99}"/>
    <cellStyle name="Normal 4 4 3 3 2 3" xfId="5177" xr:uid="{00000000-0005-0000-0000-000091150000}"/>
    <cellStyle name="Normal 4 4 3 3 2 3 2" xfId="14459" xr:uid="{C23FC0EA-2C9D-494D-9720-1CF33D7EEC3C}"/>
    <cellStyle name="Normal 4 4 3 3 2 4" xfId="10242" xr:uid="{20A5911C-081E-4650-92FD-B86137AEDFC7}"/>
    <cellStyle name="Normal 4 4 3 3 2 5" xfId="9414" xr:uid="{61AC6531-1AC3-47AD-89E2-648214936FAA}"/>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17" xr:uid="{2F3BC6ED-8180-46BB-ABDD-39BA022A1565}"/>
    <cellStyle name="Normal 4 4 3 3 3 2 3" xfId="12800" xr:uid="{4E13E178-85F2-4E4E-80E8-2361B6A3B5BF}"/>
    <cellStyle name="Normal 4 4 3 3 3 3" xfId="5590" xr:uid="{00000000-0005-0000-0000-000095150000}"/>
    <cellStyle name="Normal 4 4 3 3 3 3 2" xfId="14872" xr:uid="{04E87254-70C6-4623-8E33-4D0EF445D332}"/>
    <cellStyle name="Normal 4 4 3 3 3 4" xfId="10655" xr:uid="{44485945-984A-4EBA-BA96-B07C52FF3B5E}"/>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30" xr:uid="{7CBE1BA1-9FE4-4F5C-88C1-BA642E3776AE}"/>
    <cellStyle name="Normal 4 4 3 3 4 2 3" xfId="13213" xr:uid="{2BBDE271-6CED-4727-BED9-671BAC98D994}"/>
    <cellStyle name="Normal 4 4 3 3 4 3" xfId="6003" xr:uid="{00000000-0005-0000-0000-000099150000}"/>
    <cellStyle name="Normal 4 4 3 3 4 3 2" xfId="15285" xr:uid="{4AC5F372-DD29-4195-947D-4B2D48C6936E}"/>
    <cellStyle name="Normal 4 4 3 3 4 4" xfId="11068" xr:uid="{C6892112-3F7F-4598-BAA6-2DD728EE372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43" xr:uid="{65C94652-5A2E-4CAC-8730-980F7F8268CE}"/>
    <cellStyle name="Normal 4 4 3 3 5 2 3" xfId="13626" xr:uid="{F5BDCB68-D88B-4E1D-9D31-E8B0B40DD289}"/>
    <cellStyle name="Normal 4 4 3 3 5 3" xfId="6416" xr:uid="{00000000-0005-0000-0000-00009D150000}"/>
    <cellStyle name="Normal 4 4 3 3 5 3 2" xfId="15698" xr:uid="{43935233-24EF-470D-A3F4-F93947976820}"/>
    <cellStyle name="Normal 4 4 3 3 5 4" xfId="11481" xr:uid="{79D0CD02-45E9-4E68-BBB2-A35865A3EA76}"/>
    <cellStyle name="Normal 4 4 3 3 6" xfId="2546" xr:uid="{00000000-0005-0000-0000-00009E150000}"/>
    <cellStyle name="Normal 4 4 3 3 6 2" xfId="6829" xr:uid="{00000000-0005-0000-0000-00009F150000}"/>
    <cellStyle name="Normal 4 4 3 3 6 2 2" xfId="16111" xr:uid="{14191DC9-E1F5-4AD2-B5CB-6BB900D78980}"/>
    <cellStyle name="Normal 4 4 3 3 6 3" xfId="11894" xr:uid="{F7BD5DC8-06B3-49B4-A83E-977D54278243}"/>
    <cellStyle name="Normal 4 4 3 3 7" xfId="4764" xr:uid="{00000000-0005-0000-0000-0000A0150000}"/>
    <cellStyle name="Normal 4 4 3 3 7 2" xfId="14046" xr:uid="{76D95D15-41FD-4DC7-A633-E8B531C3B387}"/>
    <cellStyle name="Normal 4 4 3 3 8" xfId="9829" xr:uid="{1646CD14-809A-4780-8E8A-7422F28493D6}"/>
    <cellStyle name="Normal 4 4 3 3 9" xfId="8995" xr:uid="{C194F148-0B20-4FE6-81AF-0330FC18466C}"/>
    <cellStyle name="Normal 4 4 3 4" xfId="862" xr:uid="{00000000-0005-0000-0000-0000A1150000}"/>
    <cellStyle name="Normal 4 4 3 4 2" xfId="3097" xr:uid="{00000000-0005-0000-0000-0000A2150000}"/>
    <cellStyle name="Normal 4 4 3 4 2 2" xfId="7319" xr:uid="{00000000-0005-0000-0000-0000A3150000}"/>
    <cellStyle name="Normal 4 4 3 4 2 2 2" xfId="16601" xr:uid="{7C02EA72-887C-4EC3-93D6-054E4C3D90AF}"/>
    <cellStyle name="Normal 4 4 3 4 2 3" xfId="12384" xr:uid="{889A7737-A1ED-4CA2-A739-2F8ED6ADD571}"/>
    <cellStyle name="Normal 4 4 3 4 3" xfId="5174" xr:uid="{00000000-0005-0000-0000-0000A4150000}"/>
    <cellStyle name="Normal 4 4 3 4 3 2" xfId="14456" xr:uid="{6628CDBA-3911-4DC8-A617-90D23C1F8964}"/>
    <cellStyle name="Normal 4 4 3 4 4" xfId="10239" xr:uid="{972ABB0B-AF40-492E-A9EC-11A19A5936FC}"/>
    <cellStyle name="Normal 4 4 3 4 5" xfId="9411" xr:uid="{6826B5C8-8D3C-45B7-94F8-FA93BF922515}"/>
    <cellStyle name="Normal 4 4 3 5" xfId="1280" xr:uid="{00000000-0005-0000-0000-0000A5150000}"/>
    <cellStyle name="Normal 4 4 3 5 2" xfId="3510" xr:uid="{00000000-0005-0000-0000-0000A6150000}"/>
    <cellStyle name="Normal 4 4 3 5 2 2" xfId="7732" xr:uid="{00000000-0005-0000-0000-0000A7150000}"/>
    <cellStyle name="Normal 4 4 3 5 2 2 2" xfId="17014" xr:uid="{1A530C80-3B1A-4EE9-A708-B793E79E4945}"/>
    <cellStyle name="Normal 4 4 3 5 2 3" xfId="12797" xr:uid="{A67AA634-AA85-4CDE-BC53-A7E5AD8410C8}"/>
    <cellStyle name="Normal 4 4 3 5 3" xfId="5587" xr:uid="{00000000-0005-0000-0000-0000A8150000}"/>
    <cellStyle name="Normal 4 4 3 5 3 2" xfId="14869" xr:uid="{AC7BC6D6-6065-4F5D-A591-3CDDA67DE582}"/>
    <cellStyle name="Normal 4 4 3 5 4" xfId="10652" xr:uid="{05D5D220-A4F9-40E0-84F2-76BE838F3836}"/>
    <cellStyle name="Normal 4 4 3 6" xfId="1693" xr:uid="{00000000-0005-0000-0000-0000A9150000}"/>
    <cellStyle name="Normal 4 4 3 6 2" xfId="3923" xr:uid="{00000000-0005-0000-0000-0000AA150000}"/>
    <cellStyle name="Normal 4 4 3 6 2 2" xfId="8145" xr:uid="{00000000-0005-0000-0000-0000AB150000}"/>
    <cellStyle name="Normal 4 4 3 6 2 2 2" xfId="17427" xr:uid="{8039BBE5-01F3-4EFA-BCB1-598DE1A9476D}"/>
    <cellStyle name="Normal 4 4 3 6 2 3" xfId="13210" xr:uid="{07A0509B-279D-4AE0-B358-9A6E02FC98D6}"/>
    <cellStyle name="Normal 4 4 3 6 3" xfId="6000" xr:uid="{00000000-0005-0000-0000-0000AC150000}"/>
    <cellStyle name="Normal 4 4 3 6 3 2" xfId="15282" xr:uid="{6E073703-7B8F-4A89-AEF8-46CCE689EDA2}"/>
    <cellStyle name="Normal 4 4 3 6 4" xfId="11065" xr:uid="{E6882DA3-1C43-4DAF-8047-238C81600B9F}"/>
    <cellStyle name="Normal 4 4 3 7" xfId="2107" xr:uid="{00000000-0005-0000-0000-0000AD150000}"/>
    <cellStyle name="Normal 4 4 3 7 2" xfId="4336" xr:uid="{00000000-0005-0000-0000-0000AE150000}"/>
    <cellStyle name="Normal 4 4 3 7 2 2" xfId="8558" xr:uid="{00000000-0005-0000-0000-0000AF150000}"/>
    <cellStyle name="Normal 4 4 3 7 2 2 2" xfId="17840" xr:uid="{D86720F3-00FE-47C3-90BB-39903FF0C39C}"/>
    <cellStyle name="Normal 4 4 3 7 2 3" xfId="13623" xr:uid="{9B980FB4-E43F-4DD8-BA0F-BD002D8FDF5A}"/>
    <cellStyle name="Normal 4 4 3 7 3" xfId="6413" xr:uid="{00000000-0005-0000-0000-0000B0150000}"/>
    <cellStyle name="Normal 4 4 3 7 3 2" xfId="15695" xr:uid="{B2F3039F-56D6-4D69-80DE-6507A605D32E}"/>
    <cellStyle name="Normal 4 4 3 7 4" xfId="11478" xr:uid="{AE413F69-7E63-4ED6-AD5C-A1E12F862C47}"/>
    <cellStyle name="Normal 4 4 3 8" xfId="2543" xr:uid="{00000000-0005-0000-0000-0000B1150000}"/>
    <cellStyle name="Normal 4 4 3 8 2" xfId="6826" xr:uid="{00000000-0005-0000-0000-0000B2150000}"/>
    <cellStyle name="Normal 4 4 3 8 2 2" xfId="16108" xr:uid="{A73A092A-664A-486B-84C3-E8D513D009B5}"/>
    <cellStyle name="Normal 4 4 3 8 3" xfId="11891" xr:uid="{53F233BF-74B1-40BD-B5C8-A3F06C1B0C61}"/>
    <cellStyle name="Normal 4 4 3 9" xfId="4761" xr:uid="{00000000-0005-0000-0000-0000B3150000}"/>
    <cellStyle name="Normal 4 4 3 9 2" xfId="14043" xr:uid="{2028C496-93DF-4BB4-9C47-452AA39B944C}"/>
    <cellStyle name="Normal 4 4 4" xfId="391" xr:uid="{00000000-0005-0000-0000-0000B4150000}"/>
    <cellStyle name="Normal 4 4 4 10" xfId="8996" xr:uid="{E1F94173-0215-4E18-9C9C-B0D9248A771B}"/>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06" xr:uid="{09617305-DA53-4BE8-BE12-D189277E6E10}"/>
    <cellStyle name="Normal 4 4 4 2 2 2 3" xfId="12389" xr:uid="{6094FF0B-755B-4E00-97C1-1A61402E14A9}"/>
    <cellStyle name="Normal 4 4 4 2 2 3" xfId="5179" xr:uid="{00000000-0005-0000-0000-0000B9150000}"/>
    <cellStyle name="Normal 4 4 4 2 2 3 2" xfId="14461" xr:uid="{6805AC7C-2A70-4E07-9A89-F96F883B232E}"/>
    <cellStyle name="Normal 4 4 4 2 2 4" xfId="10244" xr:uid="{CE183235-220A-4A6F-B747-E3B335CDC27D}"/>
    <cellStyle name="Normal 4 4 4 2 2 5" xfId="9416" xr:uid="{32CA43E0-08E6-47B9-A7FF-DC02DA61734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19" xr:uid="{26617C17-70BF-4FAC-9B38-EC9D1C992DB6}"/>
    <cellStyle name="Normal 4 4 4 2 3 2 3" xfId="12802" xr:uid="{93A8B6DF-E4C5-4723-B3CF-2AD58ABAC27D}"/>
    <cellStyle name="Normal 4 4 4 2 3 3" xfId="5592" xr:uid="{00000000-0005-0000-0000-0000BD150000}"/>
    <cellStyle name="Normal 4 4 4 2 3 3 2" xfId="14874" xr:uid="{87D66B6C-50BC-4FD3-9276-DEBE8AC2CB8F}"/>
    <cellStyle name="Normal 4 4 4 2 3 4" xfId="10657" xr:uid="{5680E482-1F73-4371-BD2A-DEFE361FBCDB}"/>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32" xr:uid="{3346B8C5-772E-448D-9E0C-D5886513E30C}"/>
    <cellStyle name="Normal 4 4 4 2 4 2 3" xfId="13215" xr:uid="{42163898-01CE-4838-924A-2D08F03D7582}"/>
    <cellStyle name="Normal 4 4 4 2 4 3" xfId="6005" xr:uid="{00000000-0005-0000-0000-0000C1150000}"/>
    <cellStyle name="Normal 4 4 4 2 4 3 2" xfId="15287" xr:uid="{2BDFADA2-0964-4DC1-B915-5D78C496EE81}"/>
    <cellStyle name="Normal 4 4 4 2 4 4" xfId="11070" xr:uid="{F1994F99-F666-466A-B9F2-47D51F2C4DAA}"/>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45" xr:uid="{4287D488-DD03-437A-A580-45586F5A0A9B}"/>
    <cellStyle name="Normal 4 4 4 2 5 2 3" xfId="13628" xr:uid="{92D0ED0E-9010-4FFE-9D99-E4FA740F2568}"/>
    <cellStyle name="Normal 4 4 4 2 5 3" xfId="6418" xr:uid="{00000000-0005-0000-0000-0000C5150000}"/>
    <cellStyle name="Normal 4 4 4 2 5 3 2" xfId="15700" xr:uid="{BABD8D55-9180-4804-BC7E-E9713F6F751F}"/>
    <cellStyle name="Normal 4 4 4 2 5 4" xfId="11483" xr:uid="{0234CB2C-F61F-494E-8867-04ECF5FA907A}"/>
    <cellStyle name="Normal 4 4 4 2 6" xfId="2548" xr:uid="{00000000-0005-0000-0000-0000C6150000}"/>
    <cellStyle name="Normal 4 4 4 2 6 2" xfId="6831" xr:uid="{00000000-0005-0000-0000-0000C7150000}"/>
    <cellStyle name="Normal 4 4 4 2 6 2 2" xfId="16113" xr:uid="{00224510-228E-4FF3-A786-3EFCD63EED94}"/>
    <cellStyle name="Normal 4 4 4 2 6 3" xfId="11896" xr:uid="{0947957B-F27F-452F-862A-584987A037C0}"/>
    <cellStyle name="Normal 4 4 4 2 7" xfId="4766" xr:uid="{00000000-0005-0000-0000-0000C8150000}"/>
    <cellStyle name="Normal 4 4 4 2 7 2" xfId="14048" xr:uid="{F092297B-000D-4DB7-8B19-7B6CFCBF8278}"/>
    <cellStyle name="Normal 4 4 4 2 8" xfId="9831" xr:uid="{809D68DA-B92D-4241-9BCE-8A70D77A37B7}"/>
    <cellStyle name="Normal 4 4 4 2 9" xfId="8997" xr:uid="{703E8649-CF63-4ABF-BAF1-0A17B7B6352B}"/>
    <cellStyle name="Normal 4 4 4 3" xfId="866" xr:uid="{00000000-0005-0000-0000-0000C9150000}"/>
    <cellStyle name="Normal 4 4 4 3 2" xfId="3101" xr:uid="{00000000-0005-0000-0000-0000CA150000}"/>
    <cellStyle name="Normal 4 4 4 3 2 2" xfId="7323" xr:uid="{00000000-0005-0000-0000-0000CB150000}"/>
    <cellStyle name="Normal 4 4 4 3 2 2 2" xfId="16605" xr:uid="{5AD4E843-82DC-4CDB-9255-82756DD1185D}"/>
    <cellStyle name="Normal 4 4 4 3 2 3" xfId="12388" xr:uid="{7F3454DF-F16F-4057-AF4C-F25DF59D3906}"/>
    <cellStyle name="Normal 4 4 4 3 3" xfId="5178" xr:uid="{00000000-0005-0000-0000-0000CC150000}"/>
    <cellStyle name="Normal 4 4 4 3 3 2" xfId="14460" xr:uid="{999A024D-7945-4E58-88C8-D5D40EDD68BB}"/>
    <cellStyle name="Normal 4 4 4 3 4" xfId="10243" xr:uid="{68C11EBE-D7B0-4C24-8349-4A76E236B154}"/>
    <cellStyle name="Normal 4 4 4 3 5" xfId="9415" xr:uid="{062C0E54-4996-40C1-8184-FDD89C22A357}"/>
    <cellStyle name="Normal 4 4 4 4" xfId="1284" xr:uid="{00000000-0005-0000-0000-0000CD150000}"/>
    <cellStyle name="Normal 4 4 4 4 2" xfId="3514" xr:uid="{00000000-0005-0000-0000-0000CE150000}"/>
    <cellStyle name="Normal 4 4 4 4 2 2" xfId="7736" xr:uid="{00000000-0005-0000-0000-0000CF150000}"/>
    <cellStyle name="Normal 4 4 4 4 2 2 2" xfId="17018" xr:uid="{D79D2A31-4E2A-4E7F-9B1D-8E222718B65C}"/>
    <cellStyle name="Normal 4 4 4 4 2 3" xfId="12801" xr:uid="{089E8C56-805D-4AED-A298-EE94C28A052B}"/>
    <cellStyle name="Normal 4 4 4 4 3" xfId="5591" xr:uid="{00000000-0005-0000-0000-0000D0150000}"/>
    <cellStyle name="Normal 4 4 4 4 3 2" xfId="14873" xr:uid="{33E39817-1F96-401E-B5B2-F17F0986DC7F}"/>
    <cellStyle name="Normal 4 4 4 4 4" xfId="10656" xr:uid="{E5A42D66-CCE2-49E0-96AD-94A7139E8DA2}"/>
    <cellStyle name="Normal 4 4 4 5" xfId="1697" xr:uid="{00000000-0005-0000-0000-0000D1150000}"/>
    <cellStyle name="Normal 4 4 4 5 2" xfId="3927" xr:uid="{00000000-0005-0000-0000-0000D2150000}"/>
    <cellStyle name="Normal 4 4 4 5 2 2" xfId="8149" xr:uid="{00000000-0005-0000-0000-0000D3150000}"/>
    <cellStyle name="Normal 4 4 4 5 2 2 2" xfId="17431" xr:uid="{E0A38970-DC8A-437C-B8F2-017AFBB8299E}"/>
    <cellStyle name="Normal 4 4 4 5 2 3" xfId="13214" xr:uid="{4F32B71D-6923-430D-8E86-0675DF99B798}"/>
    <cellStyle name="Normal 4 4 4 5 3" xfId="6004" xr:uid="{00000000-0005-0000-0000-0000D4150000}"/>
    <cellStyle name="Normal 4 4 4 5 3 2" xfId="15286" xr:uid="{ADAAAD94-B6DC-45EA-A875-4154FA4FE9D4}"/>
    <cellStyle name="Normal 4 4 4 5 4" xfId="11069" xr:uid="{D4B8BE2D-EEE9-41B8-8E83-7CF409F32CEB}"/>
    <cellStyle name="Normal 4 4 4 6" xfId="2111" xr:uid="{00000000-0005-0000-0000-0000D5150000}"/>
    <cellStyle name="Normal 4 4 4 6 2" xfId="4340" xr:uid="{00000000-0005-0000-0000-0000D6150000}"/>
    <cellStyle name="Normal 4 4 4 6 2 2" xfId="8562" xr:uid="{00000000-0005-0000-0000-0000D7150000}"/>
    <cellStyle name="Normal 4 4 4 6 2 2 2" xfId="17844" xr:uid="{E9C5FBDA-F0A3-47E2-B3C3-AA8F87A37236}"/>
    <cellStyle name="Normal 4 4 4 6 2 3" xfId="13627" xr:uid="{9968B752-495A-4780-A39C-12ACDABD85DB}"/>
    <cellStyle name="Normal 4 4 4 6 3" xfId="6417" xr:uid="{00000000-0005-0000-0000-0000D8150000}"/>
    <cellStyle name="Normal 4 4 4 6 3 2" xfId="15699" xr:uid="{E91912A1-1A6B-4A0D-BE3D-2731FE022048}"/>
    <cellStyle name="Normal 4 4 4 6 4" xfId="11482" xr:uid="{945DCF59-DB00-47CF-8C1B-8FA973257414}"/>
    <cellStyle name="Normal 4 4 4 7" xfId="2547" xr:uid="{00000000-0005-0000-0000-0000D9150000}"/>
    <cellStyle name="Normal 4 4 4 7 2" xfId="6830" xr:uid="{00000000-0005-0000-0000-0000DA150000}"/>
    <cellStyle name="Normal 4 4 4 7 2 2" xfId="16112" xr:uid="{60ACC3B0-BA36-4618-925E-1FC7ED2CDB0D}"/>
    <cellStyle name="Normal 4 4 4 7 3" xfId="11895" xr:uid="{5228E5EB-723C-4326-8574-D11F3CC6E0A8}"/>
    <cellStyle name="Normal 4 4 4 8" xfId="4765" xr:uid="{00000000-0005-0000-0000-0000DB150000}"/>
    <cellStyle name="Normal 4 4 4 8 2" xfId="14047" xr:uid="{B7415BE2-11EB-48AF-9789-F8D22F8A16BB}"/>
    <cellStyle name="Normal 4 4 4 9" xfId="9830" xr:uid="{D6CF8C45-D51D-4E3E-A733-6CC3B9174AF3}"/>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07" xr:uid="{8D22D8DD-CB8D-4AD9-93FE-9C758EB5202D}"/>
    <cellStyle name="Normal 4 4 5 2 2 3" xfId="12390" xr:uid="{F9A3684A-464F-4545-B73E-EEEB828468B1}"/>
    <cellStyle name="Normal 4 4 5 2 3" xfId="5180" xr:uid="{00000000-0005-0000-0000-0000E0150000}"/>
    <cellStyle name="Normal 4 4 5 2 3 2" xfId="14462" xr:uid="{6727B8C7-6DF4-4B2F-AB71-96DC1B74C53D}"/>
    <cellStyle name="Normal 4 4 5 2 4" xfId="10245" xr:uid="{DBEA5B83-36A1-42B3-BE83-51F653FE4327}"/>
    <cellStyle name="Normal 4 4 5 2 5" xfId="9417" xr:uid="{9E549BBC-540D-488C-AA91-4150387A692E}"/>
    <cellStyle name="Normal 4 4 5 3" xfId="1286" xr:uid="{00000000-0005-0000-0000-0000E1150000}"/>
    <cellStyle name="Normal 4 4 5 3 2" xfId="3516" xr:uid="{00000000-0005-0000-0000-0000E2150000}"/>
    <cellStyle name="Normal 4 4 5 3 2 2" xfId="7738" xr:uid="{00000000-0005-0000-0000-0000E3150000}"/>
    <cellStyle name="Normal 4 4 5 3 2 2 2" xfId="17020" xr:uid="{8E61B749-6D36-4849-ACB6-26E53F41ACD1}"/>
    <cellStyle name="Normal 4 4 5 3 2 3" xfId="12803" xr:uid="{BBA45240-4436-4934-89FB-274A140FEB1F}"/>
    <cellStyle name="Normal 4 4 5 3 3" xfId="5593" xr:uid="{00000000-0005-0000-0000-0000E4150000}"/>
    <cellStyle name="Normal 4 4 5 3 3 2" xfId="14875" xr:uid="{9BEEB425-FC53-459D-9453-A8D26373E1F3}"/>
    <cellStyle name="Normal 4 4 5 3 4" xfId="10658" xr:uid="{6F2BA4A8-BAE3-423F-A613-3B41A3A7156E}"/>
    <cellStyle name="Normal 4 4 5 4" xfId="1699" xr:uid="{00000000-0005-0000-0000-0000E5150000}"/>
    <cellStyle name="Normal 4 4 5 4 2" xfId="3929" xr:uid="{00000000-0005-0000-0000-0000E6150000}"/>
    <cellStyle name="Normal 4 4 5 4 2 2" xfId="8151" xr:uid="{00000000-0005-0000-0000-0000E7150000}"/>
    <cellStyle name="Normal 4 4 5 4 2 2 2" xfId="17433" xr:uid="{B9F06C30-792E-4139-BF91-3DA70FBA446C}"/>
    <cellStyle name="Normal 4 4 5 4 2 3" xfId="13216" xr:uid="{B60C7643-B316-4446-B25B-732D23569BF1}"/>
    <cellStyle name="Normal 4 4 5 4 3" xfId="6006" xr:uid="{00000000-0005-0000-0000-0000E8150000}"/>
    <cellStyle name="Normal 4 4 5 4 3 2" xfId="15288" xr:uid="{D41268A3-84AF-4623-AFC4-3ADCEF453BD1}"/>
    <cellStyle name="Normal 4 4 5 4 4" xfId="11071" xr:uid="{480F5046-BADD-4CB3-8CEF-751C5D3F930D}"/>
    <cellStyle name="Normal 4 4 5 5" xfId="2113" xr:uid="{00000000-0005-0000-0000-0000E9150000}"/>
    <cellStyle name="Normal 4 4 5 5 2" xfId="4342" xr:uid="{00000000-0005-0000-0000-0000EA150000}"/>
    <cellStyle name="Normal 4 4 5 5 2 2" xfId="8564" xr:uid="{00000000-0005-0000-0000-0000EB150000}"/>
    <cellStyle name="Normal 4 4 5 5 2 2 2" xfId="17846" xr:uid="{603D1BA5-E08A-40E1-A723-35A4441A3F49}"/>
    <cellStyle name="Normal 4 4 5 5 2 3" xfId="13629" xr:uid="{BE70E13B-CA1D-4769-B87E-14C26DE2E07C}"/>
    <cellStyle name="Normal 4 4 5 5 3" xfId="6419" xr:uid="{00000000-0005-0000-0000-0000EC150000}"/>
    <cellStyle name="Normal 4 4 5 5 3 2" xfId="15701" xr:uid="{3FFFCEF7-2557-4166-819B-4E4ED10058E6}"/>
    <cellStyle name="Normal 4 4 5 5 4" xfId="11484" xr:uid="{E7B14819-38B9-4BE3-AD75-DEACC1BF8563}"/>
    <cellStyle name="Normal 4 4 5 6" xfId="2549" xr:uid="{00000000-0005-0000-0000-0000ED150000}"/>
    <cellStyle name="Normal 4 4 5 6 2" xfId="6832" xr:uid="{00000000-0005-0000-0000-0000EE150000}"/>
    <cellStyle name="Normal 4 4 5 6 2 2" xfId="16114" xr:uid="{B2EFC78C-B319-4E19-ADCB-678980652E3D}"/>
    <cellStyle name="Normal 4 4 5 6 3" xfId="11897" xr:uid="{C57A4D60-0513-4635-8588-3778768CEAA0}"/>
    <cellStyle name="Normal 4 4 5 7" xfId="4767" xr:uid="{00000000-0005-0000-0000-0000EF150000}"/>
    <cellStyle name="Normal 4 4 5 7 2" xfId="14049" xr:uid="{7E1E49C2-CF3B-40D1-A0DD-9B6A6CC60400}"/>
    <cellStyle name="Normal 4 4 5 8" xfId="9832" xr:uid="{C2ACDC6F-6B3F-447B-A3FA-EEEF108D33A1}"/>
    <cellStyle name="Normal 4 4 5 9" xfId="8998" xr:uid="{9C2B00B1-6BCB-4B94-B03A-9A12CDEB35AF}"/>
    <cellStyle name="Normal 4 4 6" xfId="853" xr:uid="{00000000-0005-0000-0000-0000F0150000}"/>
    <cellStyle name="Normal 4 4 6 2" xfId="3088" xr:uid="{00000000-0005-0000-0000-0000F1150000}"/>
    <cellStyle name="Normal 4 4 6 2 2" xfId="7310" xr:uid="{00000000-0005-0000-0000-0000F2150000}"/>
    <cellStyle name="Normal 4 4 6 2 2 2" xfId="16592" xr:uid="{3521E358-A8C2-4902-9F16-4C3B1F58D0B1}"/>
    <cellStyle name="Normal 4 4 6 2 3" xfId="12375" xr:uid="{1A7CFED1-5B01-4E1A-9006-BDF0479630CD}"/>
    <cellStyle name="Normal 4 4 6 3" xfId="5165" xr:uid="{00000000-0005-0000-0000-0000F3150000}"/>
    <cellStyle name="Normal 4 4 6 3 2" xfId="14447" xr:uid="{114E5A20-D16A-49EA-8999-AC2CFE2006F9}"/>
    <cellStyle name="Normal 4 4 6 4" xfId="10230" xr:uid="{59E53913-6345-43DE-8C00-0E880F02208A}"/>
    <cellStyle name="Normal 4 4 6 5" xfId="9402" xr:uid="{513D6AFA-B43A-4575-8F30-DC3FDE162218}"/>
    <cellStyle name="Normal 4 4 7" xfId="1271" xr:uid="{00000000-0005-0000-0000-0000F4150000}"/>
    <cellStyle name="Normal 4 4 7 2" xfId="3501" xr:uid="{00000000-0005-0000-0000-0000F5150000}"/>
    <cellStyle name="Normal 4 4 7 2 2" xfId="7723" xr:uid="{00000000-0005-0000-0000-0000F6150000}"/>
    <cellStyle name="Normal 4 4 7 2 2 2" xfId="17005" xr:uid="{5E458D2E-E14F-4B67-809A-62FFD07FB2EF}"/>
    <cellStyle name="Normal 4 4 7 2 3" xfId="12788" xr:uid="{CAF5A695-102B-43AC-8B53-C9D05B37E8E8}"/>
    <cellStyle name="Normal 4 4 7 3" xfId="5578" xr:uid="{00000000-0005-0000-0000-0000F7150000}"/>
    <cellStyle name="Normal 4 4 7 3 2" xfId="14860" xr:uid="{AA92426D-F536-43BB-B5FA-17A53AD0AA4C}"/>
    <cellStyle name="Normal 4 4 7 4" xfId="10643" xr:uid="{C57D0B49-A63A-4D7A-94DD-A3656E3B97DF}"/>
    <cellStyle name="Normal 4 4 8" xfId="1684" xr:uid="{00000000-0005-0000-0000-0000F8150000}"/>
    <cellStyle name="Normal 4 4 8 2" xfId="3914" xr:uid="{00000000-0005-0000-0000-0000F9150000}"/>
    <cellStyle name="Normal 4 4 8 2 2" xfId="8136" xr:uid="{00000000-0005-0000-0000-0000FA150000}"/>
    <cellStyle name="Normal 4 4 8 2 2 2" xfId="17418" xr:uid="{B07BF5B2-3856-48D6-8DE5-D589554C7B2F}"/>
    <cellStyle name="Normal 4 4 8 2 3" xfId="13201" xr:uid="{44C93481-7FCD-49D5-885D-F5208873B92F}"/>
    <cellStyle name="Normal 4 4 8 3" xfId="5991" xr:uid="{00000000-0005-0000-0000-0000FB150000}"/>
    <cellStyle name="Normal 4 4 8 3 2" xfId="15273" xr:uid="{510313FD-AB0A-46E1-9A1C-6215BD0B2A73}"/>
    <cellStyle name="Normal 4 4 8 4" xfId="11056" xr:uid="{694DFECB-CE29-4977-969B-E899E359FB44}"/>
    <cellStyle name="Normal 4 4 9" xfId="2098" xr:uid="{00000000-0005-0000-0000-0000FC150000}"/>
    <cellStyle name="Normal 4 4 9 2" xfId="4327" xr:uid="{00000000-0005-0000-0000-0000FD150000}"/>
    <cellStyle name="Normal 4 4 9 2 2" xfId="8549" xr:uid="{00000000-0005-0000-0000-0000FE150000}"/>
    <cellStyle name="Normal 4 4 9 2 2 2" xfId="17831" xr:uid="{510504FC-1238-4A4A-B1B8-592A00328BBD}"/>
    <cellStyle name="Normal 4 4 9 2 3" xfId="13614" xr:uid="{78E600B0-DE6B-4294-86B8-5711CEACCFAB}"/>
    <cellStyle name="Normal 4 4 9 3" xfId="6404" xr:uid="{00000000-0005-0000-0000-0000FF150000}"/>
    <cellStyle name="Normal 4 4 9 3 2" xfId="15686" xr:uid="{A1FFC568-383F-4413-85E6-693FB0C55746}"/>
    <cellStyle name="Normal 4 4 9 4" xfId="11469" xr:uid="{6912AAD7-3B4A-40E2-8B06-498373332CC4}"/>
    <cellStyle name="Normal 4 5" xfId="394" xr:uid="{00000000-0005-0000-0000-000000160000}"/>
    <cellStyle name="Normal 4 6" xfId="395" xr:uid="{00000000-0005-0000-0000-000001160000}"/>
    <cellStyle name="Normal 4 6 10" xfId="4768" xr:uid="{00000000-0005-0000-0000-000002160000}"/>
    <cellStyle name="Normal 4 6 10 2" xfId="14050" xr:uid="{922D2201-179A-42F5-A615-D763C6BAFC82}"/>
    <cellStyle name="Normal 4 6 11" xfId="9833" xr:uid="{293AC826-75D0-4E67-A2E3-4A58E003190D}"/>
    <cellStyle name="Normal 4 6 12" xfId="8999" xr:uid="{92E380C1-30F8-447B-B78B-4E66C981E5A8}"/>
    <cellStyle name="Normal 4 6 2" xfId="396" xr:uid="{00000000-0005-0000-0000-000003160000}"/>
    <cellStyle name="Normal 4 6 2 10" xfId="9834" xr:uid="{883DFABA-E825-4BBD-80BC-3F231ADD2948}"/>
    <cellStyle name="Normal 4 6 2 11" xfId="9000" xr:uid="{8F8A7D52-A762-4025-8175-5BA43FBA3079}"/>
    <cellStyle name="Normal 4 6 2 2" xfId="397" xr:uid="{00000000-0005-0000-0000-000004160000}"/>
    <cellStyle name="Normal 4 6 2 2 10" xfId="9001" xr:uid="{95F94D60-BAE6-4F5C-B464-002FB6349667}"/>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11" xr:uid="{3BDB3A92-0965-4E3F-98A2-CB0B31E4B96D}"/>
    <cellStyle name="Normal 4 6 2 2 2 2 2 3" xfId="12394" xr:uid="{5881951A-98C0-4592-AE7D-0A100C5D0BC8}"/>
    <cellStyle name="Normal 4 6 2 2 2 2 3" xfId="5184" xr:uid="{00000000-0005-0000-0000-000009160000}"/>
    <cellStyle name="Normal 4 6 2 2 2 2 3 2" xfId="14466" xr:uid="{6921CDDB-24A8-416D-8300-D9B90B07DB03}"/>
    <cellStyle name="Normal 4 6 2 2 2 2 4" xfId="10249" xr:uid="{62F11DBB-ADAA-43A9-BE86-E57B736043F3}"/>
    <cellStyle name="Normal 4 6 2 2 2 2 5" xfId="9421" xr:uid="{A5DCC01A-2FC3-4C86-890C-999F0EE87E13}"/>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24" xr:uid="{8A87349D-CC9B-4C3B-B83F-6987680EF434}"/>
    <cellStyle name="Normal 4 6 2 2 2 3 2 3" xfId="12807" xr:uid="{375E7D53-F04A-4EC5-85DF-2B784DCFD38C}"/>
    <cellStyle name="Normal 4 6 2 2 2 3 3" xfId="5597" xr:uid="{00000000-0005-0000-0000-00000D160000}"/>
    <cellStyle name="Normal 4 6 2 2 2 3 3 2" xfId="14879" xr:uid="{CBDBB127-D56D-4CEC-8982-DDF1BD98A3AA}"/>
    <cellStyle name="Normal 4 6 2 2 2 3 4" xfId="10662" xr:uid="{4A1CDE80-9E53-454F-A397-3F806F58D5A8}"/>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37" xr:uid="{C9DDE7CC-FB1F-434C-A746-228E38EBE61D}"/>
    <cellStyle name="Normal 4 6 2 2 2 4 2 3" xfId="13220" xr:uid="{FF85D49C-B8A7-488B-ACEF-144B8DE22037}"/>
    <cellStyle name="Normal 4 6 2 2 2 4 3" xfId="6010" xr:uid="{00000000-0005-0000-0000-000011160000}"/>
    <cellStyle name="Normal 4 6 2 2 2 4 3 2" xfId="15292" xr:uid="{4A67A1C7-EE19-494A-B8F3-5C37A50A3D37}"/>
    <cellStyle name="Normal 4 6 2 2 2 4 4" xfId="11075" xr:uid="{2C7739C1-EF4A-42E0-8210-DABC0A0BD3F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50" xr:uid="{2DFF8077-935B-4D37-B56D-FD7006551FB7}"/>
    <cellStyle name="Normal 4 6 2 2 2 5 2 3" xfId="13633" xr:uid="{F39E1767-5ED4-4A18-B06F-C1A681F3D132}"/>
    <cellStyle name="Normal 4 6 2 2 2 5 3" xfId="6423" xr:uid="{00000000-0005-0000-0000-000015160000}"/>
    <cellStyle name="Normal 4 6 2 2 2 5 3 2" xfId="15705" xr:uid="{ADBB3DFC-B427-497E-8497-BC5F9DDE7A66}"/>
    <cellStyle name="Normal 4 6 2 2 2 5 4" xfId="11488" xr:uid="{B432EE31-C4ED-471B-9FD6-39A5E65E75E6}"/>
    <cellStyle name="Normal 4 6 2 2 2 6" xfId="2553" xr:uid="{00000000-0005-0000-0000-000016160000}"/>
    <cellStyle name="Normal 4 6 2 2 2 6 2" xfId="6836" xr:uid="{00000000-0005-0000-0000-000017160000}"/>
    <cellStyle name="Normal 4 6 2 2 2 6 2 2" xfId="16118" xr:uid="{950DB0CE-5DAB-419B-A87C-755FD171B803}"/>
    <cellStyle name="Normal 4 6 2 2 2 6 3" xfId="11901" xr:uid="{7E13C71D-709D-47B7-A283-EEDB9D456DD0}"/>
    <cellStyle name="Normal 4 6 2 2 2 7" xfId="4771" xr:uid="{00000000-0005-0000-0000-000018160000}"/>
    <cellStyle name="Normal 4 6 2 2 2 7 2" xfId="14053" xr:uid="{8382DEBA-A649-4352-973E-757BAD126030}"/>
    <cellStyle name="Normal 4 6 2 2 2 8" xfId="9836" xr:uid="{9466CF09-FFDC-4D55-B69B-49EA8594935A}"/>
    <cellStyle name="Normal 4 6 2 2 2 9" xfId="9002" xr:uid="{6B92967D-CB1D-47B7-8D43-FF9FBBA0161D}"/>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10" xr:uid="{2369A18A-37DE-4F6F-A3AD-538FB8A685C0}"/>
    <cellStyle name="Normal 4 6 2 2 3 2 3" xfId="12393" xr:uid="{1FC8B7AE-0807-4C22-9678-E52BF4D04262}"/>
    <cellStyle name="Normal 4 6 2 2 3 3" xfId="5183" xr:uid="{00000000-0005-0000-0000-00001C160000}"/>
    <cellStyle name="Normal 4 6 2 2 3 3 2" xfId="14465" xr:uid="{1060E3FE-2D40-4D7B-8B64-6B79FB72AB6F}"/>
    <cellStyle name="Normal 4 6 2 2 3 4" xfId="10248" xr:uid="{E9DCFDDF-2B40-45B4-AE25-BE709F047229}"/>
    <cellStyle name="Normal 4 6 2 2 3 5" xfId="9420" xr:uid="{2F0BCF88-CAA9-442E-AB5D-705190D9EF3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23" xr:uid="{C0E4E73C-A5D2-4751-A022-72AF47746DD1}"/>
    <cellStyle name="Normal 4 6 2 2 4 2 3" xfId="12806" xr:uid="{1851081A-B975-4524-8CF2-24C3523DB9B4}"/>
    <cellStyle name="Normal 4 6 2 2 4 3" xfId="5596" xr:uid="{00000000-0005-0000-0000-000020160000}"/>
    <cellStyle name="Normal 4 6 2 2 4 3 2" xfId="14878" xr:uid="{2199E1D3-0793-4CDB-AA29-7477E2B4C944}"/>
    <cellStyle name="Normal 4 6 2 2 4 4" xfId="10661" xr:uid="{47D37C82-F56E-4636-A5DC-1934740BE8B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36" xr:uid="{901CF59F-F750-4C34-8B19-42B7F53F1055}"/>
    <cellStyle name="Normal 4 6 2 2 5 2 3" xfId="13219" xr:uid="{8EEBA883-3160-4040-AB79-5955DFA8D857}"/>
    <cellStyle name="Normal 4 6 2 2 5 3" xfId="6009" xr:uid="{00000000-0005-0000-0000-000024160000}"/>
    <cellStyle name="Normal 4 6 2 2 5 3 2" xfId="15291" xr:uid="{5E4B40FC-1506-46E0-B042-170DE404834E}"/>
    <cellStyle name="Normal 4 6 2 2 5 4" xfId="11074" xr:uid="{C537B69E-5538-450E-AC0C-B6C5F306207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49" xr:uid="{87B21738-DC61-46F0-AD4D-6DAABCB05ACA}"/>
    <cellStyle name="Normal 4 6 2 2 6 2 3" xfId="13632" xr:uid="{B0CAED49-9205-4713-A517-10800B49DAD0}"/>
    <cellStyle name="Normal 4 6 2 2 6 3" xfId="6422" xr:uid="{00000000-0005-0000-0000-000028160000}"/>
    <cellStyle name="Normal 4 6 2 2 6 3 2" xfId="15704" xr:uid="{CC8BC83B-690E-44D6-924F-D11889B0F812}"/>
    <cellStyle name="Normal 4 6 2 2 6 4" xfId="11487" xr:uid="{4C9B63FA-264D-46BA-8546-57EC4C414774}"/>
    <cellStyle name="Normal 4 6 2 2 7" xfId="2552" xr:uid="{00000000-0005-0000-0000-000029160000}"/>
    <cellStyle name="Normal 4 6 2 2 7 2" xfId="6835" xr:uid="{00000000-0005-0000-0000-00002A160000}"/>
    <cellStyle name="Normal 4 6 2 2 7 2 2" xfId="16117" xr:uid="{E3C198D3-C18C-4D03-8DE3-63A44C75649A}"/>
    <cellStyle name="Normal 4 6 2 2 7 3" xfId="11900" xr:uid="{DF9883EA-DBFE-434C-BE3F-F7013500FDFA}"/>
    <cellStyle name="Normal 4 6 2 2 8" xfId="4770" xr:uid="{00000000-0005-0000-0000-00002B160000}"/>
    <cellStyle name="Normal 4 6 2 2 8 2" xfId="14052" xr:uid="{DD45DBD7-21FC-46B7-AC0D-B4586590728B}"/>
    <cellStyle name="Normal 4 6 2 2 9" xfId="9835" xr:uid="{F8A0F5D5-9FE3-475B-9C59-DF231A285438}"/>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12" xr:uid="{D78DC75C-53F4-4D37-B5BA-BA52579AB7D3}"/>
    <cellStyle name="Normal 4 6 2 3 2 2 3" xfId="12395" xr:uid="{2099B460-2AA2-4044-B7ED-EAABC6EB6573}"/>
    <cellStyle name="Normal 4 6 2 3 2 3" xfId="5185" xr:uid="{00000000-0005-0000-0000-000030160000}"/>
    <cellStyle name="Normal 4 6 2 3 2 3 2" xfId="14467" xr:uid="{5B21E519-B3E5-41BC-B9F7-3C9CBB097B81}"/>
    <cellStyle name="Normal 4 6 2 3 2 4" xfId="10250" xr:uid="{AB5952D6-9F32-4BB5-ACF1-C5FA9836E48F}"/>
    <cellStyle name="Normal 4 6 2 3 2 5" xfId="9422" xr:uid="{FCC5FA5B-0D2A-41E6-9857-DF4C200141E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25" xr:uid="{9B09A938-4E6C-47F0-BE9F-C8601399E498}"/>
    <cellStyle name="Normal 4 6 2 3 3 2 3" xfId="12808" xr:uid="{835EFB63-6BE3-4A39-9454-BB9AE24EEE34}"/>
    <cellStyle name="Normal 4 6 2 3 3 3" xfId="5598" xr:uid="{00000000-0005-0000-0000-000034160000}"/>
    <cellStyle name="Normal 4 6 2 3 3 3 2" xfId="14880" xr:uid="{1E8EE7E6-B8FF-435B-A836-989CD143E00E}"/>
    <cellStyle name="Normal 4 6 2 3 3 4" xfId="10663" xr:uid="{B150567D-FB53-49F9-A537-C40AFF994968}"/>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38" xr:uid="{C9B3F101-8755-4654-8B3B-4E7F448FAD30}"/>
    <cellStyle name="Normal 4 6 2 3 4 2 3" xfId="13221" xr:uid="{820BD91E-E52C-43C3-923D-A086D00FB780}"/>
    <cellStyle name="Normal 4 6 2 3 4 3" xfId="6011" xr:uid="{00000000-0005-0000-0000-000038160000}"/>
    <cellStyle name="Normal 4 6 2 3 4 3 2" xfId="15293" xr:uid="{9BEF7046-FDA4-48D0-BAB6-93D7B7CA9855}"/>
    <cellStyle name="Normal 4 6 2 3 4 4" xfId="11076" xr:uid="{E34CEC17-EE62-4391-9A26-75B8F408A528}"/>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51" xr:uid="{154C3592-16CA-4606-8B51-96A2327C3277}"/>
    <cellStyle name="Normal 4 6 2 3 5 2 3" xfId="13634" xr:uid="{F1443853-B9F8-4E72-9084-FE1B4AC7FD67}"/>
    <cellStyle name="Normal 4 6 2 3 5 3" xfId="6424" xr:uid="{00000000-0005-0000-0000-00003C160000}"/>
    <cellStyle name="Normal 4 6 2 3 5 3 2" xfId="15706" xr:uid="{847EF5AD-A294-4F11-806A-D391EBEA196E}"/>
    <cellStyle name="Normal 4 6 2 3 5 4" xfId="11489" xr:uid="{5963A165-1214-49AF-8E5F-E7EE133FEC1D}"/>
    <cellStyle name="Normal 4 6 2 3 6" xfId="2554" xr:uid="{00000000-0005-0000-0000-00003D160000}"/>
    <cellStyle name="Normal 4 6 2 3 6 2" xfId="6837" xr:uid="{00000000-0005-0000-0000-00003E160000}"/>
    <cellStyle name="Normal 4 6 2 3 6 2 2" xfId="16119" xr:uid="{BB82E039-1C5B-43DD-BC63-6275512E3CBE}"/>
    <cellStyle name="Normal 4 6 2 3 6 3" xfId="11902" xr:uid="{F2498B93-8B0D-4CA1-AAE5-8AB73D907CAA}"/>
    <cellStyle name="Normal 4 6 2 3 7" xfId="4772" xr:uid="{00000000-0005-0000-0000-00003F160000}"/>
    <cellStyle name="Normal 4 6 2 3 7 2" xfId="14054" xr:uid="{47448096-644B-43F0-BA3C-AE2C0B42D873}"/>
    <cellStyle name="Normal 4 6 2 3 8" xfId="9837" xr:uid="{35A5FD89-94D0-4915-B8C4-EE8A8252EB71}"/>
    <cellStyle name="Normal 4 6 2 3 9" xfId="9003" xr:uid="{DC05CAC3-B1BD-4BE4-A035-F7E244D73BFF}"/>
    <cellStyle name="Normal 4 6 2 4" xfId="870" xr:uid="{00000000-0005-0000-0000-000040160000}"/>
    <cellStyle name="Normal 4 6 2 4 2" xfId="3105" xr:uid="{00000000-0005-0000-0000-000041160000}"/>
    <cellStyle name="Normal 4 6 2 4 2 2" xfId="7327" xr:uid="{00000000-0005-0000-0000-000042160000}"/>
    <cellStyle name="Normal 4 6 2 4 2 2 2" xfId="16609" xr:uid="{F8632F4C-FC51-43D9-9972-473A12A2D5F4}"/>
    <cellStyle name="Normal 4 6 2 4 2 3" xfId="12392" xr:uid="{DE2503A7-C725-49D7-BB24-B9CCEBD27176}"/>
    <cellStyle name="Normal 4 6 2 4 3" xfId="5182" xr:uid="{00000000-0005-0000-0000-000043160000}"/>
    <cellStyle name="Normal 4 6 2 4 3 2" xfId="14464" xr:uid="{BA52A1C4-54BC-4D8C-A0F0-BD56D1D96FDF}"/>
    <cellStyle name="Normal 4 6 2 4 4" xfId="10247" xr:uid="{04D30774-EE42-4250-B40D-ADD7A57DD121}"/>
    <cellStyle name="Normal 4 6 2 4 5" xfId="9419" xr:uid="{644AE901-C80B-485D-9668-4DD2EFE19416}"/>
    <cellStyle name="Normal 4 6 2 5" xfId="1288" xr:uid="{00000000-0005-0000-0000-000044160000}"/>
    <cellStyle name="Normal 4 6 2 5 2" xfId="3518" xr:uid="{00000000-0005-0000-0000-000045160000}"/>
    <cellStyle name="Normal 4 6 2 5 2 2" xfId="7740" xr:uid="{00000000-0005-0000-0000-000046160000}"/>
    <cellStyle name="Normal 4 6 2 5 2 2 2" xfId="17022" xr:uid="{13F19528-5FE2-4EE7-A233-061D862425E1}"/>
    <cellStyle name="Normal 4 6 2 5 2 3" xfId="12805" xr:uid="{459938B2-A9A5-40EB-ADCC-89D0F5E8509E}"/>
    <cellStyle name="Normal 4 6 2 5 3" xfId="5595" xr:uid="{00000000-0005-0000-0000-000047160000}"/>
    <cellStyle name="Normal 4 6 2 5 3 2" xfId="14877" xr:uid="{9157C6B2-00E9-44AB-9839-33435C0FF507}"/>
    <cellStyle name="Normal 4 6 2 5 4" xfId="10660" xr:uid="{BCAB587F-DB2E-48F9-9D1F-CB2B795F712B}"/>
    <cellStyle name="Normal 4 6 2 6" xfId="1701" xr:uid="{00000000-0005-0000-0000-000048160000}"/>
    <cellStyle name="Normal 4 6 2 6 2" xfId="3931" xr:uid="{00000000-0005-0000-0000-000049160000}"/>
    <cellStyle name="Normal 4 6 2 6 2 2" xfId="8153" xr:uid="{00000000-0005-0000-0000-00004A160000}"/>
    <cellStyle name="Normal 4 6 2 6 2 2 2" xfId="17435" xr:uid="{33905444-7BD2-497F-BDB8-1035FF9694D7}"/>
    <cellStyle name="Normal 4 6 2 6 2 3" xfId="13218" xr:uid="{08EC8DBE-6C50-4E94-8194-6DD42AE37A33}"/>
    <cellStyle name="Normal 4 6 2 6 3" xfId="6008" xr:uid="{00000000-0005-0000-0000-00004B160000}"/>
    <cellStyle name="Normal 4 6 2 6 3 2" xfId="15290" xr:uid="{8F5A327D-C550-4743-BFC6-9752761A418F}"/>
    <cellStyle name="Normal 4 6 2 6 4" xfId="11073" xr:uid="{DC737486-121C-4535-A770-7A70B026749D}"/>
    <cellStyle name="Normal 4 6 2 7" xfId="2115" xr:uid="{00000000-0005-0000-0000-00004C160000}"/>
    <cellStyle name="Normal 4 6 2 7 2" xfId="4344" xr:uid="{00000000-0005-0000-0000-00004D160000}"/>
    <cellStyle name="Normal 4 6 2 7 2 2" xfId="8566" xr:uid="{00000000-0005-0000-0000-00004E160000}"/>
    <cellStyle name="Normal 4 6 2 7 2 2 2" xfId="17848" xr:uid="{995857BC-3A34-4CD4-8E0C-EA3FED734736}"/>
    <cellStyle name="Normal 4 6 2 7 2 3" xfId="13631" xr:uid="{6EAE8035-B5D6-479D-A435-7146B3817D8D}"/>
    <cellStyle name="Normal 4 6 2 7 3" xfId="6421" xr:uid="{00000000-0005-0000-0000-00004F160000}"/>
    <cellStyle name="Normal 4 6 2 7 3 2" xfId="15703" xr:uid="{92341B57-796C-4FBD-89A1-BA91D4608643}"/>
    <cellStyle name="Normal 4 6 2 7 4" xfId="11486" xr:uid="{2B30EA79-8D20-43BC-AEB1-7838D2E68CB9}"/>
    <cellStyle name="Normal 4 6 2 8" xfId="2551" xr:uid="{00000000-0005-0000-0000-000050160000}"/>
    <cellStyle name="Normal 4 6 2 8 2" xfId="6834" xr:uid="{00000000-0005-0000-0000-000051160000}"/>
    <cellStyle name="Normal 4 6 2 8 2 2" xfId="16116" xr:uid="{248113B1-0F67-4A41-9D3D-F67A178FB75E}"/>
    <cellStyle name="Normal 4 6 2 8 3" xfId="11899" xr:uid="{F3FA68A4-1287-4C5F-9FCB-56F99D6CC3ED}"/>
    <cellStyle name="Normal 4 6 2 9" xfId="4769" xr:uid="{00000000-0005-0000-0000-000052160000}"/>
    <cellStyle name="Normal 4 6 2 9 2" xfId="14051" xr:uid="{8EAEB683-B275-4467-9E8C-40053B0A9DE3}"/>
    <cellStyle name="Normal 4 6 3" xfId="400" xr:uid="{00000000-0005-0000-0000-000053160000}"/>
    <cellStyle name="Normal 4 6 3 10" xfId="9004" xr:uid="{D4BBA2E2-B563-4751-8B12-BAF0EF2099D8}"/>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14" xr:uid="{96D37B21-50C4-4AA1-A976-45FB75409C29}"/>
    <cellStyle name="Normal 4 6 3 2 2 2 3" xfId="12397" xr:uid="{8C938FF0-0DE6-4611-817B-76092F0AD7CB}"/>
    <cellStyle name="Normal 4 6 3 2 2 3" xfId="5187" xr:uid="{00000000-0005-0000-0000-000058160000}"/>
    <cellStyle name="Normal 4 6 3 2 2 3 2" xfId="14469" xr:uid="{7FE36103-89CA-4F79-AD00-562177949D48}"/>
    <cellStyle name="Normal 4 6 3 2 2 4" xfId="10252" xr:uid="{82B0B9A6-83D5-4045-9093-62D51F6662C5}"/>
    <cellStyle name="Normal 4 6 3 2 2 5" xfId="9424" xr:uid="{4A67E014-EC4E-49C5-94A4-3DA24FC58AD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27" xr:uid="{881A635E-0A87-4329-BDD4-6C260BBCC2E0}"/>
    <cellStyle name="Normal 4 6 3 2 3 2 3" xfId="12810" xr:uid="{DC6EADC6-1791-404E-B352-B5E947FE0FAB}"/>
    <cellStyle name="Normal 4 6 3 2 3 3" xfId="5600" xr:uid="{00000000-0005-0000-0000-00005C160000}"/>
    <cellStyle name="Normal 4 6 3 2 3 3 2" xfId="14882" xr:uid="{1CAFB243-CF1F-4C0F-9C4F-2ECC7213A581}"/>
    <cellStyle name="Normal 4 6 3 2 3 4" xfId="10665" xr:uid="{A6B554E0-ABF8-4B95-B0E9-47492814A27B}"/>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40" xr:uid="{73B857F2-4BFF-4676-A62B-49E3C6EA0182}"/>
    <cellStyle name="Normal 4 6 3 2 4 2 3" xfId="13223" xr:uid="{5F0E0271-9499-4B8B-8834-0F6113B6E2FB}"/>
    <cellStyle name="Normal 4 6 3 2 4 3" xfId="6013" xr:uid="{00000000-0005-0000-0000-000060160000}"/>
    <cellStyle name="Normal 4 6 3 2 4 3 2" xfId="15295" xr:uid="{549A6884-F36A-483E-A667-3BC1FB53F280}"/>
    <cellStyle name="Normal 4 6 3 2 4 4" xfId="11078" xr:uid="{5819A0F4-3944-4EE1-8213-3D3BF93A130A}"/>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53" xr:uid="{9F84F4A4-C74B-48CD-BFC8-65FBF15933E8}"/>
    <cellStyle name="Normal 4 6 3 2 5 2 3" xfId="13636" xr:uid="{9497E9D8-6C34-431D-8AE0-AFC708B4FA3A}"/>
    <cellStyle name="Normal 4 6 3 2 5 3" xfId="6426" xr:uid="{00000000-0005-0000-0000-000064160000}"/>
    <cellStyle name="Normal 4 6 3 2 5 3 2" xfId="15708" xr:uid="{43B2FAE9-3E78-430A-AB24-B29035DFCEA8}"/>
    <cellStyle name="Normal 4 6 3 2 5 4" xfId="11491" xr:uid="{BA7C2C6A-497C-46E0-A4A6-461D531B05EC}"/>
    <cellStyle name="Normal 4 6 3 2 6" xfId="2556" xr:uid="{00000000-0005-0000-0000-000065160000}"/>
    <cellStyle name="Normal 4 6 3 2 6 2" xfId="6839" xr:uid="{00000000-0005-0000-0000-000066160000}"/>
    <cellStyle name="Normal 4 6 3 2 6 2 2" xfId="16121" xr:uid="{A0302F05-0427-40A2-85EC-85E7BAF011E6}"/>
    <cellStyle name="Normal 4 6 3 2 6 3" xfId="11904" xr:uid="{83555312-F70D-4090-AED3-0D8EDFD2A75D}"/>
    <cellStyle name="Normal 4 6 3 2 7" xfId="4774" xr:uid="{00000000-0005-0000-0000-000067160000}"/>
    <cellStyle name="Normal 4 6 3 2 7 2" xfId="14056" xr:uid="{1A49C314-7A58-4032-9F3A-032892585377}"/>
    <cellStyle name="Normal 4 6 3 2 8" xfId="9839" xr:uid="{E073BB0E-899C-40BD-8720-FD6F623125F9}"/>
    <cellStyle name="Normal 4 6 3 2 9" xfId="9005" xr:uid="{732C63B7-F532-4800-9F63-AA05AC4BFE31}"/>
    <cellStyle name="Normal 4 6 3 3" xfId="874" xr:uid="{00000000-0005-0000-0000-000068160000}"/>
    <cellStyle name="Normal 4 6 3 3 2" xfId="3109" xr:uid="{00000000-0005-0000-0000-000069160000}"/>
    <cellStyle name="Normal 4 6 3 3 2 2" xfId="7331" xr:uid="{00000000-0005-0000-0000-00006A160000}"/>
    <cellStyle name="Normal 4 6 3 3 2 2 2" xfId="16613" xr:uid="{3ABF368D-1508-4127-82FE-0AC4CD670DF2}"/>
    <cellStyle name="Normal 4 6 3 3 2 3" xfId="12396" xr:uid="{13E4CEBD-3EAB-4D49-A3D8-1CB2C3DF39E9}"/>
    <cellStyle name="Normal 4 6 3 3 3" xfId="5186" xr:uid="{00000000-0005-0000-0000-00006B160000}"/>
    <cellStyle name="Normal 4 6 3 3 3 2" xfId="14468" xr:uid="{0E1BE356-A795-47CE-BD5C-0D4CB62BF657}"/>
    <cellStyle name="Normal 4 6 3 3 4" xfId="10251" xr:uid="{B6361467-2E76-4886-B25F-07BA82B357A8}"/>
    <cellStyle name="Normal 4 6 3 3 5" xfId="9423" xr:uid="{540FF044-476F-4538-81B8-AC015F94EFAA}"/>
    <cellStyle name="Normal 4 6 3 4" xfId="1292" xr:uid="{00000000-0005-0000-0000-00006C160000}"/>
    <cellStyle name="Normal 4 6 3 4 2" xfId="3522" xr:uid="{00000000-0005-0000-0000-00006D160000}"/>
    <cellStyle name="Normal 4 6 3 4 2 2" xfId="7744" xr:uid="{00000000-0005-0000-0000-00006E160000}"/>
    <cellStyle name="Normal 4 6 3 4 2 2 2" xfId="17026" xr:uid="{00C92350-4A94-44F6-AA9E-80A002294CBF}"/>
    <cellStyle name="Normal 4 6 3 4 2 3" xfId="12809" xr:uid="{2901EE9F-2457-4381-A9A1-9BBA7BC80F09}"/>
    <cellStyle name="Normal 4 6 3 4 3" xfId="5599" xr:uid="{00000000-0005-0000-0000-00006F160000}"/>
    <cellStyle name="Normal 4 6 3 4 3 2" xfId="14881" xr:uid="{35B18786-C64D-48DF-A2C0-C70C1F84D36E}"/>
    <cellStyle name="Normal 4 6 3 4 4" xfId="10664" xr:uid="{688A0E25-B66E-46BC-98EB-D2EF27890484}"/>
    <cellStyle name="Normal 4 6 3 5" xfId="1705" xr:uid="{00000000-0005-0000-0000-000070160000}"/>
    <cellStyle name="Normal 4 6 3 5 2" xfId="3935" xr:uid="{00000000-0005-0000-0000-000071160000}"/>
    <cellStyle name="Normal 4 6 3 5 2 2" xfId="8157" xr:uid="{00000000-0005-0000-0000-000072160000}"/>
    <cellStyle name="Normal 4 6 3 5 2 2 2" xfId="17439" xr:uid="{B4AE39F5-6905-4038-8E11-49D39DF53762}"/>
    <cellStyle name="Normal 4 6 3 5 2 3" xfId="13222" xr:uid="{546A2317-71A7-461A-963B-0FDDEB1D8F86}"/>
    <cellStyle name="Normal 4 6 3 5 3" xfId="6012" xr:uid="{00000000-0005-0000-0000-000073160000}"/>
    <cellStyle name="Normal 4 6 3 5 3 2" xfId="15294" xr:uid="{AB135D3B-83BB-4D0B-8EB9-AA25765C22F2}"/>
    <cellStyle name="Normal 4 6 3 5 4" xfId="11077" xr:uid="{90165543-29AB-4B50-8592-CED6B03AA996}"/>
    <cellStyle name="Normal 4 6 3 6" xfId="2119" xr:uid="{00000000-0005-0000-0000-000074160000}"/>
    <cellStyle name="Normal 4 6 3 6 2" xfId="4348" xr:uid="{00000000-0005-0000-0000-000075160000}"/>
    <cellStyle name="Normal 4 6 3 6 2 2" xfId="8570" xr:uid="{00000000-0005-0000-0000-000076160000}"/>
    <cellStyle name="Normal 4 6 3 6 2 2 2" xfId="17852" xr:uid="{80A1830C-0C15-4C3D-9816-6EE3D531E0B8}"/>
    <cellStyle name="Normal 4 6 3 6 2 3" xfId="13635" xr:uid="{5ECB4726-923F-44AA-9784-87A817A66728}"/>
    <cellStyle name="Normal 4 6 3 6 3" xfId="6425" xr:uid="{00000000-0005-0000-0000-000077160000}"/>
    <cellStyle name="Normal 4 6 3 6 3 2" xfId="15707" xr:uid="{C595BB4A-8A0E-45CD-B3D2-CFDDF8DD19EE}"/>
    <cellStyle name="Normal 4 6 3 6 4" xfId="11490" xr:uid="{AE31BE70-76D4-46AE-991B-229DA5982699}"/>
    <cellStyle name="Normal 4 6 3 7" xfId="2555" xr:uid="{00000000-0005-0000-0000-000078160000}"/>
    <cellStyle name="Normal 4 6 3 7 2" xfId="6838" xr:uid="{00000000-0005-0000-0000-000079160000}"/>
    <cellStyle name="Normal 4 6 3 7 2 2" xfId="16120" xr:uid="{4EE7A57B-B2AE-4CDE-A2DB-FD6CEA2F8253}"/>
    <cellStyle name="Normal 4 6 3 7 3" xfId="11903" xr:uid="{DDADF5A8-7C05-4A03-832D-2DD3363400BF}"/>
    <cellStyle name="Normal 4 6 3 8" xfId="4773" xr:uid="{00000000-0005-0000-0000-00007A160000}"/>
    <cellStyle name="Normal 4 6 3 8 2" xfId="14055" xr:uid="{93923884-4291-4948-8310-D4D51C22B9D6}"/>
    <cellStyle name="Normal 4 6 3 9" xfId="9838" xr:uid="{1C784CFB-EA37-4A1F-B6B2-8BB6D14C938A}"/>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15" xr:uid="{6AF24B5B-FD1C-45FE-A7DD-F39456086E27}"/>
    <cellStyle name="Normal 4 6 4 2 2 3" xfId="12398" xr:uid="{35C3B78D-A1DE-4227-B58D-40381E38C76E}"/>
    <cellStyle name="Normal 4 6 4 2 3" xfId="5188" xr:uid="{00000000-0005-0000-0000-00007F160000}"/>
    <cellStyle name="Normal 4 6 4 2 3 2" xfId="14470" xr:uid="{9D6353F5-41C8-4C9A-BD5F-8DFD17505206}"/>
    <cellStyle name="Normal 4 6 4 2 4" xfId="10253" xr:uid="{C6108BF8-C604-4DFF-A2F4-341364213900}"/>
    <cellStyle name="Normal 4 6 4 2 5" xfId="9425" xr:uid="{ADC9284B-64C8-42CD-904B-FB7A29CDC7CD}"/>
    <cellStyle name="Normal 4 6 4 3" xfId="1294" xr:uid="{00000000-0005-0000-0000-000080160000}"/>
    <cellStyle name="Normal 4 6 4 3 2" xfId="3524" xr:uid="{00000000-0005-0000-0000-000081160000}"/>
    <cellStyle name="Normal 4 6 4 3 2 2" xfId="7746" xr:uid="{00000000-0005-0000-0000-000082160000}"/>
    <cellStyle name="Normal 4 6 4 3 2 2 2" xfId="17028" xr:uid="{FAD6EF0B-2243-41B0-A6D5-83AD823E0E5F}"/>
    <cellStyle name="Normal 4 6 4 3 2 3" xfId="12811" xr:uid="{62C7094B-95AD-4A48-A77F-242D1CA64AD1}"/>
    <cellStyle name="Normal 4 6 4 3 3" xfId="5601" xr:uid="{00000000-0005-0000-0000-000083160000}"/>
    <cellStyle name="Normal 4 6 4 3 3 2" xfId="14883" xr:uid="{6C63CABA-DA66-4CE5-9E65-6ED198F27ADD}"/>
    <cellStyle name="Normal 4 6 4 3 4" xfId="10666" xr:uid="{8192D9CB-0DD8-4343-8D6E-CC773DF67CAB}"/>
    <cellStyle name="Normal 4 6 4 4" xfId="1707" xr:uid="{00000000-0005-0000-0000-000084160000}"/>
    <cellStyle name="Normal 4 6 4 4 2" xfId="3937" xr:uid="{00000000-0005-0000-0000-000085160000}"/>
    <cellStyle name="Normal 4 6 4 4 2 2" xfId="8159" xr:uid="{00000000-0005-0000-0000-000086160000}"/>
    <cellStyle name="Normal 4 6 4 4 2 2 2" xfId="17441" xr:uid="{CA86A49D-2982-466D-9644-A1AECA770954}"/>
    <cellStyle name="Normal 4 6 4 4 2 3" xfId="13224" xr:uid="{55A4BD68-9BD5-42DF-B29F-8C1AF06A2BC3}"/>
    <cellStyle name="Normal 4 6 4 4 3" xfId="6014" xr:uid="{00000000-0005-0000-0000-000087160000}"/>
    <cellStyle name="Normal 4 6 4 4 3 2" xfId="15296" xr:uid="{759E855C-6D40-413F-B9AC-A501872FD73F}"/>
    <cellStyle name="Normal 4 6 4 4 4" xfId="11079" xr:uid="{E85E8578-21BF-44F4-A18C-FFE1CEC2225C}"/>
    <cellStyle name="Normal 4 6 4 5" xfId="2121" xr:uid="{00000000-0005-0000-0000-000088160000}"/>
    <cellStyle name="Normal 4 6 4 5 2" xfId="4350" xr:uid="{00000000-0005-0000-0000-000089160000}"/>
    <cellStyle name="Normal 4 6 4 5 2 2" xfId="8572" xr:uid="{00000000-0005-0000-0000-00008A160000}"/>
    <cellStyle name="Normal 4 6 4 5 2 2 2" xfId="17854" xr:uid="{56A1C30D-0A95-457B-A738-AA63F2BE10F5}"/>
    <cellStyle name="Normal 4 6 4 5 2 3" xfId="13637" xr:uid="{A84A9B4C-869F-4D26-90CC-4E419DD77B04}"/>
    <cellStyle name="Normal 4 6 4 5 3" xfId="6427" xr:uid="{00000000-0005-0000-0000-00008B160000}"/>
    <cellStyle name="Normal 4 6 4 5 3 2" xfId="15709" xr:uid="{EA227C8E-6EDC-4770-9F27-60EA8D31EEC1}"/>
    <cellStyle name="Normal 4 6 4 5 4" xfId="11492" xr:uid="{1E4A8087-950E-4638-BE08-2EFBA53B999E}"/>
    <cellStyle name="Normal 4 6 4 6" xfId="2557" xr:uid="{00000000-0005-0000-0000-00008C160000}"/>
    <cellStyle name="Normal 4 6 4 6 2" xfId="6840" xr:uid="{00000000-0005-0000-0000-00008D160000}"/>
    <cellStyle name="Normal 4 6 4 6 2 2" xfId="16122" xr:uid="{AB52678D-16A6-465B-8044-ADFACC2A53E4}"/>
    <cellStyle name="Normal 4 6 4 6 3" xfId="11905" xr:uid="{161E9836-DA3F-4940-B416-4EF69FDCAD20}"/>
    <cellStyle name="Normal 4 6 4 7" xfId="4775" xr:uid="{00000000-0005-0000-0000-00008E160000}"/>
    <cellStyle name="Normal 4 6 4 7 2" xfId="14057" xr:uid="{3232F141-7963-4643-B98B-7BE9D88A3D0E}"/>
    <cellStyle name="Normal 4 6 4 8" xfId="9840" xr:uid="{7B9E2192-B75B-45B2-8310-A1BB83B7A28A}"/>
    <cellStyle name="Normal 4 6 4 9" xfId="9006" xr:uid="{3779F5D5-640D-493B-B560-48AD72881FBD}"/>
    <cellStyle name="Normal 4 6 5" xfId="869" xr:uid="{00000000-0005-0000-0000-00008F160000}"/>
    <cellStyle name="Normal 4 6 5 2" xfId="3104" xr:uid="{00000000-0005-0000-0000-000090160000}"/>
    <cellStyle name="Normal 4 6 5 2 2" xfId="7326" xr:uid="{00000000-0005-0000-0000-000091160000}"/>
    <cellStyle name="Normal 4 6 5 2 2 2" xfId="16608" xr:uid="{199A7D0E-C826-4379-B16E-ACC65D8FAC37}"/>
    <cellStyle name="Normal 4 6 5 2 3" xfId="12391" xr:uid="{847E3022-3CE7-466A-9DDF-2989207440E2}"/>
    <cellStyle name="Normal 4 6 5 3" xfId="5181" xr:uid="{00000000-0005-0000-0000-000092160000}"/>
    <cellStyle name="Normal 4 6 5 3 2" xfId="14463" xr:uid="{FB49F293-4477-4785-BB74-F4DE172596CF}"/>
    <cellStyle name="Normal 4 6 5 4" xfId="10246" xr:uid="{67E0BE8F-3A4F-4B0B-9C4C-EC7ECE5D322C}"/>
    <cellStyle name="Normal 4 6 5 5" xfId="9418" xr:uid="{39C9C9E0-A040-418C-A937-188B9088801B}"/>
    <cellStyle name="Normal 4 6 6" xfId="1287" xr:uid="{00000000-0005-0000-0000-000093160000}"/>
    <cellStyle name="Normal 4 6 6 2" xfId="3517" xr:uid="{00000000-0005-0000-0000-000094160000}"/>
    <cellStyle name="Normal 4 6 6 2 2" xfId="7739" xr:uid="{00000000-0005-0000-0000-000095160000}"/>
    <cellStyle name="Normal 4 6 6 2 2 2" xfId="17021" xr:uid="{DFF7F526-5EA1-48E6-8F93-26D9E881A3B2}"/>
    <cellStyle name="Normal 4 6 6 2 3" xfId="12804" xr:uid="{279AE2B3-A99A-42D5-A35D-B04FC81501BA}"/>
    <cellStyle name="Normal 4 6 6 3" xfId="5594" xr:uid="{00000000-0005-0000-0000-000096160000}"/>
    <cellStyle name="Normal 4 6 6 3 2" xfId="14876" xr:uid="{5DBD68D1-F500-42A1-8D46-E4616E628D5D}"/>
    <cellStyle name="Normal 4 6 6 4" xfId="10659" xr:uid="{0077835D-9026-429A-8A32-BAD268CFA1B5}"/>
    <cellStyle name="Normal 4 6 7" xfId="1700" xr:uid="{00000000-0005-0000-0000-000097160000}"/>
    <cellStyle name="Normal 4 6 7 2" xfId="3930" xr:uid="{00000000-0005-0000-0000-000098160000}"/>
    <cellStyle name="Normal 4 6 7 2 2" xfId="8152" xr:uid="{00000000-0005-0000-0000-000099160000}"/>
    <cellStyle name="Normal 4 6 7 2 2 2" xfId="17434" xr:uid="{E29D6A95-C229-4B2A-A5C3-C3BC5B845F2E}"/>
    <cellStyle name="Normal 4 6 7 2 3" xfId="13217" xr:uid="{B0D21CFC-E052-4EB8-8CD3-179A02227B00}"/>
    <cellStyle name="Normal 4 6 7 3" xfId="6007" xr:uid="{00000000-0005-0000-0000-00009A160000}"/>
    <cellStyle name="Normal 4 6 7 3 2" xfId="15289" xr:uid="{21CB840B-73A1-4723-A1BD-FF58F4AB720B}"/>
    <cellStyle name="Normal 4 6 7 4" xfId="11072" xr:uid="{A6334C73-1D0D-47B3-BD75-6FBB5A2587EA}"/>
    <cellStyle name="Normal 4 6 8" xfId="2114" xr:uid="{00000000-0005-0000-0000-00009B160000}"/>
    <cellStyle name="Normal 4 6 8 2" xfId="4343" xr:uid="{00000000-0005-0000-0000-00009C160000}"/>
    <cellStyle name="Normal 4 6 8 2 2" xfId="8565" xr:uid="{00000000-0005-0000-0000-00009D160000}"/>
    <cellStyle name="Normal 4 6 8 2 2 2" xfId="17847" xr:uid="{8F816371-6A60-4ABB-9546-2C8A8389B4EF}"/>
    <cellStyle name="Normal 4 6 8 2 3" xfId="13630" xr:uid="{454E462C-9889-4151-91C2-8989BF437DA8}"/>
    <cellStyle name="Normal 4 6 8 3" xfId="6420" xr:uid="{00000000-0005-0000-0000-00009E160000}"/>
    <cellStyle name="Normal 4 6 8 3 2" xfId="15702" xr:uid="{E41B6CAE-E41E-4BE7-AFD0-8A12004FE587}"/>
    <cellStyle name="Normal 4 6 8 4" xfId="11485" xr:uid="{53316267-9BD0-4632-98A3-58AE1946FC67}"/>
    <cellStyle name="Normal 4 6 9" xfId="2550" xr:uid="{00000000-0005-0000-0000-00009F160000}"/>
    <cellStyle name="Normal 4 6 9 2" xfId="6833" xr:uid="{00000000-0005-0000-0000-0000A0160000}"/>
    <cellStyle name="Normal 4 6 9 2 2" xfId="16115" xr:uid="{7A899B02-CB33-4FF3-83D4-FF68F9E91D28}"/>
    <cellStyle name="Normal 4 6 9 3" xfId="11898" xr:uid="{F0485F42-4398-4D29-BC79-A1F23E4DDD24}"/>
    <cellStyle name="Normal 4 7" xfId="403" xr:uid="{00000000-0005-0000-0000-0000A1160000}"/>
    <cellStyle name="Normal 4 7 10" xfId="9007" xr:uid="{272EE45D-DAAF-433D-96BD-5B59345C81FF}"/>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17" xr:uid="{9FE1AF96-05A5-417A-8E7F-89865B57DB73}"/>
    <cellStyle name="Normal 4 7 2 2 2 3" xfId="12400" xr:uid="{D36B45FD-948D-4922-A2FF-48DFCDE03C33}"/>
    <cellStyle name="Normal 4 7 2 2 3" xfId="5190" xr:uid="{00000000-0005-0000-0000-0000A6160000}"/>
    <cellStyle name="Normal 4 7 2 2 3 2" xfId="14472" xr:uid="{D3075060-E7E5-41E7-82F6-5D9D6E20D4F3}"/>
    <cellStyle name="Normal 4 7 2 2 4" xfId="10255" xr:uid="{E01A09F4-7A3D-4481-990C-B195D4E074E2}"/>
    <cellStyle name="Normal 4 7 2 2 5" xfId="9427" xr:uid="{A9E9E1EB-A72F-4D7C-BDD3-AE144BEFC2FB}"/>
    <cellStyle name="Normal 4 7 2 3" xfId="1296" xr:uid="{00000000-0005-0000-0000-0000A7160000}"/>
    <cellStyle name="Normal 4 7 2 3 2" xfId="3526" xr:uid="{00000000-0005-0000-0000-0000A8160000}"/>
    <cellStyle name="Normal 4 7 2 3 2 2" xfId="7748" xr:uid="{00000000-0005-0000-0000-0000A9160000}"/>
    <cellStyle name="Normal 4 7 2 3 2 2 2" xfId="17030" xr:uid="{9A217BEB-A1AB-4D9B-A355-7D8D6AEA9F9B}"/>
    <cellStyle name="Normal 4 7 2 3 2 3" xfId="12813" xr:uid="{BA3364B7-80FB-4E98-9A84-8E3F198C2C98}"/>
    <cellStyle name="Normal 4 7 2 3 3" xfId="5603" xr:uid="{00000000-0005-0000-0000-0000AA160000}"/>
    <cellStyle name="Normal 4 7 2 3 3 2" xfId="14885" xr:uid="{E4B8CC70-6E05-4F44-909C-EEC6A0ABD97D}"/>
    <cellStyle name="Normal 4 7 2 3 4" xfId="10668" xr:uid="{9513A9A0-138D-4E7C-B424-340D9E9C1320}"/>
    <cellStyle name="Normal 4 7 2 4" xfId="1709" xr:uid="{00000000-0005-0000-0000-0000AB160000}"/>
    <cellStyle name="Normal 4 7 2 4 2" xfId="3939" xr:uid="{00000000-0005-0000-0000-0000AC160000}"/>
    <cellStyle name="Normal 4 7 2 4 2 2" xfId="8161" xr:uid="{00000000-0005-0000-0000-0000AD160000}"/>
    <cellStyle name="Normal 4 7 2 4 2 2 2" xfId="17443" xr:uid="{F9DAC7D9-F0D3-43A7-89A7-AF07E5A557DC}"/>
    <cellStyle name="Normal 4 7 2 4 2 3" xfId="13226" xr:uid="{2FCE3243-9608-40F1-BD51-DBB701367547}"/>
    <cellStyle name="Normal 4 7 2 4 3" xfId="6016" xr:uid="{00000000-0005-0000-0000-0000AE160000}"/>
    <cellStyle name="Normal 4 7 2 4 3 2" xfId="15298" xr:uid="{8E29C87A-8182-47D1-A083-9B7C50CC8038}"/>
    <cellStyle name="Normal 4 7 2 4 4" xfId="11081" xr:uid="{011BB615-29A7-4CEC-8A15-031EC64F3DFD}"/>
    <cellStyle name="Normal 4 7 2 5" xfId="2123" xr:uid="{00000000-0005-0000-0000-0000AF160000}"/>
    <cellStyle name="Normal 4 7 2 5 2" xfId="4352" xr:uid="{00000000-0005-0000-0000-0000B0160000}"/>
    <cellStyle name="Normal 4 7 2 5 2 2" xfId="8574" xr:uid="{00000000-0005-0000-0000-0000B1160000}"/>
    <cellStyle name="Normal 4 7 2 5 2 2 2" xfId="17856" xr:uid="{D1551F9D-2874-484B-B157-015095361C4E}"/>
    <cellStyle name="Normal 4 7 2 5 2 3" xfId="13639" xr:uid="{6E713539-A289-468D-9D9B-29B01BAD6C7F}"/>
    <cellStyle name="Normal 4 7 2 5 3" xfId="6429" xr:uid="{00000000-0005-0000-0000-0000B2160000}"/>
    <cellStyle name="Normal 4 7 2 5 3 2" xfId="15711" xr:uid="{81ED2BF9-F9DA-4A30-A2E3-D40D7A8EC3D0}"/>
    <cellStyle name="Normal 4 7 2 5 4" xfId="11494" xr:uid="{672CE9C7-26A4-4276-8B8C-7F588E414BED}"/>
    <cellStyle name="Normal 4 7 2 6" xfId="2559" xr:uid="{00000000-0005-0000-0000-0000B3160000}"/>
    <cellStyle name="Normal 4 7 2 6 2" xfId="6842" xr:uid="{00000000-0005-0000-0000-0000B4160000}"/>
    <cellStyle name="Normal 4 7 2 6 2 2" xfId="16124" xr:uid="{8FCB84E1-4EC9-417C-B7A1-2EF8FE5AB8FC}"/>
    <cellStyle name="Normal 4 7 2 6 3" xfId="11907" xr:uid="{65B31DD6-7BAB-4CE9-BD27-E5139FE4618C}"/>
    <cellStyle name="Normal 4 7 2 7" xfId="4777" xr:uid="{00000000-0005-0000-0000-0000B5160000}"/>
    <cellStyle name="Normal 4 7 2 7 2" xfId="14059" xr:uid="{96A72808-7EC7-4F3A-AF1D-CED9DF03D082}"/>
    <cellStyle name="Normal 4 7 2 8" xfId="9842" xr:uid="{04F56B2E-C5F0-4D12-8525-51134E727105}"/>
    <cellStyle name="Normal 4 7 2 9" xfId="9008" xr:uid="{E56CBC57-D7CC-4EEF-93D8-833C4DE7C09B}"/>
    <cellStyle name="Normal 4 7 3" xfId="877" xr:uid="{00000000-0005-0000-0000-0000B6160000}"/>
    <cellStyle name="Normal 4 7 3 2" xfId="3112" xr:uid="{00000000-0005-0000-0000-0000B7160000}"/>
    <cellStyle name="Normal 4 7 3 2 2" xfId="7334" xr:uid="{00000000-0005-0000-0000-0000B8160000}"/>
    <cellStyle name="Normal 4 7 3 2 2 2" xfId="16616" xr:uid="{87755CE4-1171-4D64-A310-5554D0479688}"/>
    <cellStyle name="Normal 4 7 3 2 3" xfId="12399" xr:uid="{B4F96EBB-AA2A-4F3D-819E-BB60590D5CD5}"/>
    <cellStyle name="Normal 4 7 3 3" xfId="5189" xr:uid="{00000000-0005-0000-0000-0000B9160000}"/>
    <cellStyle name="Normal 4 7 3 3 2" xfId="14471" xr:uid="{FA9623A6-C734-4919-BC4B-77CA0753797F}"/>
    <cellStyle name="Normal 4 7 3 4" xfId="10254" xr:uid="{235835E2-78B7-45B7-9D4E-BF2A89533057}"/>
    <cellStyle name="Normal 4 7 3 5" xfId="9426" xr:uid="{AD559B1F-E8A0-4D6A-A073-F2ABB8F2892B}"/>
    <cellStyle name="Normal 4 7 4" xfId="1295" xr:uid="{00000000-0005-0000-0000-0000BA160000}"/>
    <cellStyle name="Normal 4 7 4 2" xfId="3525" xr:uid="{00000000-0005-0000-0000-0000BB160000}"/>
    <cellStyle name="Normal 4 7 4 2 2" xfId="7747" xr:uid="{00000000-0005-0000-0000-0000BC160000}"/>
    <cellStyle name="Normal 4 7 4 2 2 2" xfId="17029" xr:uid="{AF12792D-5430-44E7-AC08-5DC4327A4A86}"/>
    <cellStyle name="Normal 4 7 4 2 3" xfId="12812" xr:uid="{1C9AAD98-E0C4-4CEB-8AEB-CCF21262B15E}"/>
    <cellStyle name="Normal 4 7 4 3" xfId="5602" xr:uid="{00000000-0005-0000-0000-0000BD160000}"/>
    <cellStyle name="Normal 4 7 4 3 2" xfId="14884" xr:uid="{B1994330-E013-45C4-9CDB-03BDA09E30DE}"/>
    <cellStyle name="Normal 4 7 4 4" xfId="10667" xr:uid="{C9C9321B-4B3C-4EF0-8940-C38D405DAE7A}"/>
    <cellStyle name="Normal 4 7 5" xfId="1708" xr:uid="{00000000-0005-0000-0000-0000BE160000}"/>
    <cellStyle name="Normal 4 7 5 2" xfId="3938" xr:uid="{00000000-0005-0000-0000-0000BF160000}"/>
    <cellStyle name="Normal 4 7 5 2 2" xfId="8160" xr:uid="{00000000-0005-0000-0000-0000C0160000}"/>
    <cellStyle name="Normal 4 7 5 2 2 2" xfId="17442" xr:uid="{AFEB39CE-9564-4FFA-97F5-8DFCB52505BA}"/>
    <cellStyle name="Normal 4 7 5 2 3" xfId="13225" xr:uid="{16406477-917F-4FBA-8CEF-9620ACA2B412}"/>
    <cellStyle name="Normal 4 7 5 3" xfId="6015" xr:uid="{00000000-0005-0000-0000-0000C1160000}"/>
    <cellStyle name="Normal 4 7 5 3 2" xfId="15297" xr:uid="{A0C61065-770A-4488-982F-438A72AA31CE}"/>
    <cellStyle name="Normal 4 7 5 4" xfId="11080" xr:uid="{4115BCDF-3F0F-451F-8E03-937E879EAF2D}"/>
    <cellStyle name="Normal 4 7 6" xfId="2122" xr:uid="{00000000-0005-0000-0000-0000C2160000}"/>
    <cellStyle name="Normal 4 7 6 2" xfId="4351" xr:uid="{00000000-0005-0000-0000-0000C3160000}"/>
    <cellStyle name="Normal 4 7 6 2 2" xfId="8573" xr:uid="{00000000-0005-0000-0000-0000C4160000}"/>
    <cellStyle name="Normal 4 7 6 2 2 2" xfId="17855" xr:uid="{B44FFA4E-65F5-4CC5-AE8B-32C880F80878}"/>
    <cellStyle name="Normal 4 7 6 2 3" xfId="13638" xr:uid="{36E2BA34-C230-4198-A3A8-90E27222E3C8}"/>
    <cellStyle name="Normal 4 7 6 3" xfId="6428" xr:uid="{00000000-0005-0000-0000-0000C5160000}"/>
    <cellStyle name="Normal 4 7 6 3 2" xfId="15710" xr:uid="{CBEAD87E-C706-4E21-A1DB-A865E95E5479}"/>
    <cellStyle name="Normal 4 7 6 4" xfId="11493" xr:uid="{46EE4025-82A9-40E4-B50E-F1C18D7623D4}"/>
    <cellStyle name="Normal 4 7 7" xfId="2558" xr:uid="{00000000-0005-0000-0000-0000C6160000}"/>
    <cellStyle name="Normal 4 7 7 2" xfId="6841" xr:uid="{00000000-0005-0000-0000-0000C7160000}"/>
    <cellStyle name="Normal 4 7 7 2 2" xfId="16123" xr:uid="{B0415609-E737-4874-8413-D65C2045E252}"/>
    <cellStyle name="Normal 4 7 7 3" xfId="11906" xr:uid="{F2144E67-1A4E-49BE-B614-2CFA6585B0EA}"/>
    <cellStyle name="Normal 4 7 8" xfId="4776" xr:uid="{00000000-0005-0000-0000-0000C8160000}"/>
    <cellStyle name="Normal 4 7 8 2" xfId="14058" xr:uid="{F9F9CBBB-7B16-487E-A8AA-73F96DB50AC8}"/>
    <cellStyle name="Normal 4 7 9" xfId="9841" xr:uid="{F3DA77BD-0005-408F-87E4-4312633D7A3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18" xr:uid="{773FE7B4-10A1-4F9A-9285-2B7BEC3736F3}"/>
    <cellStyle name="Normal 4 8 2 2 3" xfId="12401" xr:uid="{21792084-88D0-4ADB-81AF-D145950722A7}"/>
    <cellStyle name="Normal 4 8 2 3" xfId="5191" xr:uid="{00000000-0005-0000-0000-0000CD160000}"/>
    <cellStyle name="Normal 4 8 2 3 2" xfId="14473" xr:uid="{01122F17-B1FE-4AB1-B9D3-9CCA056FCEF3}"/>
    <cellStyle name="Normal 4 8 2 4" xfId="10256" xr:uid="{EB23CCA7-5EFD-4B1C-8A31-8C0C9A962C2C}"/>
    <cellStyle name="Normal 4 8 2 5" xfId="9428" xr:uid="{652204E7-4BC6-4222-99B5-34B8182B46EB}"/>
    <cellStyle name="Normal 4 8 3" xfId="1297" xr:uid="{00000000-0005-0000-0000-0000CE160000}"/>
    <cellStyle name="Normal 4 8 3 2" xfId="3527" xr:uid="{00000000-0005-0000-0000-0000CF160000}"/>
    <cellStyle name="Normal 4 8 3 2 2" xfId="7749" xr:uid="{00000000-0005-0000-0000-0000D0160000}"/>
    <cellStyle name="Normal 4 8 3 2 2 2" xfId="17031" xr:uid="{C2682401-0804-453F-A254-C07D01614E3F}"/>
    <cellStyle name="Normal 4 8 3 2 3" xfId="12814" xr:uid="{C68B0AD8-B87F-4A70-96FE-CDFDFC429725}"/>
    <cellStyle name="Normal 4 8 3 3" xfId="5604" xr:uid="{00000000-0005-0000-0000-0000D1160000}"/>
    <cellStyle name="Normal 4 8 3 3 2" xfId="14886" xr:uid="{F7DBF166-DF5F-4B98-8BA3-5D17CD5789D1}"/>
    <cellStyle name="Normal 4 8 3 4" xfId="10669" xr:uid="{335E7B85-16B8-41CD-8A6F-2F5A89DBEA8E}"/>
    <cellStyle name="Normal 4 8 4" xfId="1710" xr:uid="{00000000-0005-0000-0000-0000D2160000}"/>
    <cellStyle name="Normal 4 8 4 2" xfId="3940" xr:uid="{00000000-0005-0000-0000-0000D3160000}"/>
    <cellStyle name="Normal 4 8 4 2 2" xfId="8162" xr:uid="{00000000-0005-0000-0000-0000D4160000}"/>
    <cellStyle name="Normal 4 8 4 2 2 2" xfId="17444" xr:uid="{D8D387D7-F37A-4F9A-BD21-EA7F03F43185}"/>
    <cellStyle name="Normal 4 8 4 2 3" xfId="13227" xr:uid="{A5F8982E-5759-49F7-BD6C-9DC54F326219}"/>
    <cellStyle name="Normal 4 8 4 3" xfId="6017" xr:uid="{00000000-0005-0000-0000-0000D5160000}"/>
    <cellStyle name="Normal 4 8 4 3 2" xfId="15299" xr:uid="{4884A4C8-C914-4A82-B029-BD841343EBDD}"/>
    <cellStyle name="Normal 4 8 4 4" xfId="11082" xr:uid="{72ACC8E1-DDEB-4806-A62E-A403662A001C}"/>
    <cellStyle name="Normal 4 8 5" xfId="2124" xr:uid="{00000000-0005-0000-0000-0000D6160000}"/>
    <cellStyle name="Normal 4 8 5 2" xfId="4353" xr:uid="{00000000-0005-0000-0000-0000D7160000}"/>
    <cellStyle name="Normal 4 8 5 2 2" xfId="8575" xr:uid="{00000000-0005-0000-0000-0000D8160000}"/>
    <cellStyle name="Normal 4 8 5 2 2 2" xfId="17857" xr:uid="{4A3B776F-26AE-444F-A336-E0B0979F5D3B}"/>
    <cellStyle name="Normal 4 8 5 2 3" xfId="13640" xr:uid="{0724ADB0-5536-478A-9C1C-17B17A1AA375}"/>
    <cellStyle name="Normal 4 8 5 3" xfId="6430" xr:uid="{00000000-0005-0000-0000-0000D9160000}"/>
    <cellStyle name="Normal 4 8 5 3 2" xfId="15712" xr:uid="{65CA5CA2-388F-4190-881C-974AC23B08A2}"/>
    <cellStyle name="Normal 4 8 5 4" xfId="11495" xr:uid="{78F76694-C04F-454B-B456-45755B440A92}"/>
    <cellStyle name="Normal 4 8 6" xfId="2560" xr:uid="{00000000-0005-0000-0000-0000DA160000}"/>
    <cellStyle name="Normal 4 8 6 2" xfId="6843" xr:uid="{00000000-0005-0000-0000-0000DB160000}"/>
    <cellStyle name="Normal 4 8 6 2 2" xfId="16125" xr:uid="{BA279141-CF8A-4F17-B1AA-9ED3FC692CB2}"/>
    <cellStyle name="Normal 4 8 6 3" xfId="11908" xr:uid="{E7EE8AD8-A9C9-48CB-A36D-2582A844EA88}"/>
    <cellStyle name="Normal 4 8 7" xfId="4778" xr:uid="{00000000-0005-0000-0000-0000DC160000}"/>
    <cellStyle name="Normal 4 8 7 2" xfId="14060" xr:uid="{51644A7A-A728-4F07-8CBC-9094A729BAA5}"/>
    <cellStyle name="Normal 4 8 8" xfId="9843" xr:uid="{42483E14-9BB0-4C62-A013-27C9FB73F72C}"/>
    <cellStyle name="Normal 4 8 9" xfId="9009" xr:uid="{7AACD5C2-81C2-4F2D-BCD8-39D51D987A2E}"/>
    <cellStyle name="Normal 4 9" xfId="4715" xr:uid="{00000000-0005-0000-0000-0000DD160000}"/>
    <cellStyle name="Normal 4 9 2" xfId="13997" xr:uid="{0E6F2C17-F28D-44BD-9D2D-1D41CCE4401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45" xr:uid="{8825B5AF-95D0-4F30-9BCF-31CFAB72F458}"/>
    <cellStyle name="Normal 5 10 2 3" xfId="13228" xr:uid="{6172E2DA-1EBF-4703-BF5A-B8A4165FA84E}"/>
    <cellStyle name="Normal 5 10 3" xfId="6018" xr:uid="{00000000-0005-0000-0000-0000E2160000}"/>
    <cellStyle name="Normal 5 10 3 2" xfId="15300" xr:uid="{C5B65D31-E3F2-4B81-8FE5-A343DF97C08E}"/>
    <cellStyle name="Normal 5 10 4" xfId="11083" xr:uid="{7EE46F30-70EB-435F-8045-BC0F891297DB}"/>
    <cellStyle name="Normal 5 11" xfId="2125" xr:uid="{00000000-0005-0000-0000-0000E3160000}"/>
    <cellStyle name="Normal 5 11 2" xfId="4354" xr:uid="{00000000-0005-0000-0000-0000E4160000}"/>
    <cellStyle name="Normal 5 11 2 2" xfId="8576" xr:uid="{00000000-0005-0000-0000-0000E5160000}"/>
    <cellStyle name="Normal 5 11 2 2 2" xfId="17858" xr:uid="{EA4757B0-0335-4A10-BBDC-97859ED1987E}"/>
    <cellStyle name="Normal 5 11 2 3" xfId="13641" xr:uid="{6E70A916-6B25-489E-8061-742FAC260C46}"/>
    <cellStyle name="Normal 5 11 3" xfId="6431" xr:uid="{00000000-0005-0000-0000-0000E6160000}"/>
    <cellStyle name="Normal 5 11 3 2" xfId="15713" xr:uid="{6616FEE9-354D-48EE-A246-F8805DE4796F}"/>
    <cellStyle name="Normal 5 11 4" xfId="11496" xr:uid="{01405966-D787-428D-BD16-58A096BBC567}"/>
    <cellStyle name="Normal 5 12" xfId="2561" xr:uid="{00000000-0005-0000-0000-0000E7160000}"/>
    <cellStyle name="Normal 5 12 2" xfId="6844" xr:uid="{00000000-0005-0000-0000-0000E8160000}"/>
    <cellStyle name="Normal 5 12 2 2" xfId="16126" xr:uid="{5CB52708-F017-4D51-A147-4519CD94FFC8}"/>
    <cellStyle name="Normal 5 12 3" xfId="11909" xr:uid="{99F4C1A5-53C0-40B6-9917-3DCFA25D4B42}"/>
    <cellStyle name="Normal 5 13" xfId="4779" xr:uid="{00000000-0005-0000-0000-0000E9160000}"/>
    <cellStyle name="Normal 5 13 2" xfId="14061" xr:uid="{CD6C0F19-D12B-4146-8904-86E14F51AE46}"/>
    <cellStyle name="Normal 5 14" xfId="9844" xr:uid="{F2E52044-4610-4842-8249-D0228E95E456}"/>
    <cellStyle name="Normal 5 15" xfId="9010" xr:uid="{9035476A-54AF-467C-87A9-4905010258E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859" xr:uid="{416FEC1C-2EFD-4978-A3FC-108803AA3BE7}"/>
    <cellStyle name="Normal 5 2 10 2 3" xfId="13642" xr:uid="{B0B987F7-538F-421C-9191-0627EF2C7D15}"/>
    <cellStyle name="Normal 5 2 10 3" xfId="6432" xr:uid="{00000000-0005-0000-0000-0000EE160000}"/>
    <cellStyle name="Normal 5 2 10 3 2" xfId="15714" xr:uid="{DC4ED96D-B219-43A6-844C-8C5354D67331}"/>
    <cellStyle name="Normal 5 2 10 4" xfId="11497" xr:uid="{434CB52D-3AEE-43FB-89EC-02E89ABE61CC}"/>
    <cellStyle name="Normal 5 2 11" xfId="2562" xr:uid="{00000000-0005-0000-0000-0000EF160000}"/>
    <cellStyle name="Normal 5 2 11 2" xfId="6845" xr:uid="{00000000-0005-0000-0000-0000F0160000}"/>
    <cellStyle name="Normal 5 2 11 2 2" xfId="16127" xr:uid="{02BC7E68-6095-42A8-A47F-95994672C8AC}"/>
    <cellStyle name="Normal 5 2 11 3" xfId="11910" xr:uid="{E5B45DBB-CABB-4269-9602-B90B7278A554}"/>
    <cellStyle name="Normal 5 2 12" xfId="4780" xr:uid="{00000000-0005-0000-0000-0000F1160000}"/>
    <cellStyle name="Normal 5 2 12 2" xfId="14062" xr:uid="{50B053A0-A484-40E7-B595-FBF3D88934BD}"/>
    <cellStyle name="Normal 5 2 13" xfId="9845" xr:uid="{3F4477A5-28E4-4728-BF26-F5AD7F3E6361}"/>
    <cellStyle name="Normal 5 2 14" xfId="9011" xr:uid="{DE0963AD-A674-4AD0-B2AD-463672C519EC}"/>
    <cellStyle name="Normal 5 2 2" xfId="408" xr:uid="{00000000-0005-0000-0000-0000F2160000}"/>
    <cellStyle name="Normal 5 2 2 10" xfId="2563" xr:uid="{00000000-0005-0000-0000-0000F3160000}"/>
    <cellStyle name="Normal 5 2 2 10 2" xfId="6846" xr:uid="{00000000-0005-0000-0000-0000F4160000}"/>
    <cellStyle name="Normal 5 2 2 10 2 2" xfId="16128" xr:uid="{B3788D2F-313C-4043-9FD4-D586B6D107F6}"/>
    <cellStyle name="Normal 5 2 2 10 3" xfId="11911" xr:uid="{85BBA655-F7D2-48E0-885D-04273BF883A7}"/>
    <cellStyle name="Normal 5 2 2 11" xfId="4781" xr:uid="{00000000-0005-0000-0000-0000F5160000}"/>
    <cellStyle name="Normal 5 2 2 11 2" xfId="14063" xr:uid="{70DD4896-91E3-40CE-8417-CEA5CE3D9CA4}"/>
    <cellStyle name="Normal 5 2 2 12" xfId="9846" xr:uid="{5798D752-0413-473F-ACF8-5C4B5FA3C7CE}"/>
    <cellStyle name="Normal 5 2 2 13" xfId="9012" xr:uid="{0E6BAD9D-CCBD-43B4-AF15-D97E5D949129}"/>
    <cellStyle name="Normal 5 2 2 2" xfId="409" xr:uid="{00000000-0005-0000-0000-0000F6160000}"/>
    <cellStyle name="Normal 5 2 2 2 10" xfId="4782" xr:uid="{00000000-0005-0000-0000-0000F7160000}"/>
    <cellStyle name="Normal 5 2 2 2 10 2" xfId="14064" xr:uid="{088192BE-CAB0-4681-8E7E-2A478DB8EF53}"/>
    <cellStyle name="Normal 5 2 2 2 11" xfId="9847" xr:uid="{FCC46CEC-BBF5-46B0-99B8-9CB904CDD8BB}"/>
    <cellStyle name="Normal 5 2 2 2 12" xfId="9013" xr:uid="{2FD4E277-2B4B-47D1-B6FE-51FD5CD63F0A}"/>
    <cellStyle name="Normal 5 2 2 2 2" xfId="410" xr:uid="{00000000-0005-0000-0000-0000F8160000}"/>
    <cellStyle name="Normal 5 2 2 2 2 10" xfId="9848" xr:uid="{8D301E38-450E-403E-B9E3-72CD475069BF}"/>
    <cellStyle name="Normal 5 2 2 2 2 11" xfId="9014" xr:uid="{F6AF023F-0941-4594-93AE-0D6D5794C7BA}"/>
    <cellStyle name="Normal 5 2 2 2 2 2" xfId="411" xr:uid="{00000000-0005-0000-0000-0000F9160000}"/>
    <cellStyle name="Normal 5 2 2 2 2 2 10" xfId="9015" xr:uid="{27FB126E-A15B-4443-8518-4D62A1A7A00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25" xr:uid="{F43B9C7D-3FCB-46AF-80D4-B0E6B11DCA05}"/>
    <cellStyle name="Normal 5 2 2 2 2 2 2 2 2 3" xfId="12408" xr:uid="{9AC2B393-E5F8-4F1F-B71E-6E026C9407D8}"/>
    <cellStyle name="Normal 5 2 2 2 2 2 2 2 3" xfId="5198" xr:uid="{00000000-0005-0000-0000-0000FE160000}"/>
    <cellStyle name="Normal 5 2 2 2 2 2 2 2 3 2" xfId="14480" xr:uid="{19DD5AF9-8F44-41EF-9065-DE5EED7C0F31}"/>
    <cellStyle name="Normal 5 2 2 2 2 2 2 2 4" xfId="10263" xr:uid="{7488E32F-02EE-49DB-9219-3BE0DEC5EEE8}"/>
    <cellStyle name="Normal 5 2 2 2 2 2 2 2 5" xfId="9435" xr:uid="{93F5909C-2412-45D4-A1FD-1439FA13C81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38" xr:uid="{4E2D9125-92F2-4C77-A933-7EBC3295BDA4}"/>
    <cellStyle name="Normal 5 2 2 2 2 2 2 3 2 3" xfId="12821" xr:uid="{A859A15C-8125-4F56-B489-098761823BBF}"/>
    <cellStyle name="Normal 5 2 2 2 2 2 2 3 3" xfId="5611" xr:uid="{00000000-0005-0000-0000-000002170000}"/>
    <cellStyle name="Normal 5 2 2 2 2 2 2 3 3 2" xfId="14893" xr:uid="{2C6DD2ED-4DB9-4021-ABC5-1736CB41D1DF}"/>
    <cellStyle name="Normal 5 2 2 2 2 2 2 3 4" xfId="10676" xr:uid="{82B180D1-8736-4DFF-BDBC-0AEBF1D2841E}"/>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51" xr:uid="{9A42F7C5-960E-48D9-A118-4F7881C8D912}"/>
    <cellStyle name="Normal 5 2 2 2 2 2 2 4 2 3" xfId="13234" xr:uid="{101F13A1-11D1-49C9-A1EC-A129390BCCCA}"/>
    <cellStyle name="Normal 5 2 2 2 2 2 2 4 3" xfId="6024" xr:uid="{00000000-0005-0000-0000-000006170000}"/>
    <cellStyle name="Normal 5 2 2 2 2 2 2 4 3 2" xfId="15306" xr:uid="{F480BB8F-0039-4E00-944B-D1ED0990F47B}"/>
    <cellStyle name="Normal 5 2 2 2 2 2 2 4 4" xfId="11089" xr:uid="{AC8F9B58-6F3C-4689-B1EC-80367CA28895}"/>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864" xr:uid="{CB5F0A32-F292-4F8A-82CD-88AAAC910CDE}"/>
    <cellStyle name="Normal 5 2 2 2 2 2 2 5 2 3" xfId="13647" xr:uid="{ECA79D06-C203-4F01-A3FB-4123702F1B45}"/>
    <cellStyle name="Normal 5 2 2 2 2 2 2 5 3" xfId="6437" xr:uid="{00000000-0005-0000-0000-00000A170000}"/>
    <cellStyle name="Normal 5 2 2 2 2 2 2 5 3 2" xfId="15719" xr:uid="{D0C4CBFA-74AC-41DB-B2F5-2D5C748E2F93}"/>
    <cellStyle name="Normal 5 2 2 2 2 2 2 5 4" xfId="11502" xr:uid="{6A41766E-35B6-4BC1-936F-9953BF9E5248}"/>
    <cellStyle name="Normal 5 2 2 2 2 2 2 6" xfId="2567" xr:uid="{00000000-0005-0000-0000-00000B170000}"/>
    <cellStyle name="Normal 5 2 2 2 2 2 2 6 2" xfId="6850" xr:uid="{00000000-0005-0000-0000-00000C170000}"/>
    <cellStyle name="Normal 5 2 2 2 2 2 2 6 2 2" xfId="16132" xr:uid="{4EDEA4AB-7178-40F0-8E32-0FE38A9534E2}"/>
    <cellStyle name="Normal 5 2 2 2 2 2 2 6 3" xfId="11915" xr:uid="{BE3537D4-01FB-443C-92B8-0862DD8480EC}"/>
    <cellStyle name="Normal 5 2 2 2 2 2 2 7" xfId="4785" xr:uid="{00000000-0005-0000-0000-00000D170000}"/>
    <cellStyle name="Normal 5 2 2 2 2 2 2 7 2" xfId="14067" xr:uid="{B90649EE-70DC-4022-A5A2-2032797357FF}"/>
    <cellStyle name="Normal 5 2 2 2 2 2 2 8" xfId="9850" xr:uid="{7ECF4FA4-5516-40AF-886E-C625BFE041DC}"/>
    <cellStyle name="Normal 5 2 2 2 2 2 2 9" xfId="9016" xr:uid="{03B9B2C0-55E8-40FA-B70A-7F8A40C1CB9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24" xr:uid="{2AA00FE5-C7EB-4C81-8E27-5D7B1C960434}"/>
    <cellStyle name="Normal 5 2 2 2 2 2 3 2 3" xfId="12407" xr:uid="{F3D8DFB5-F52D-4EF2-B016-3EADF39750FD}"/>
    <cellStyle name="Normal 5 2 2 2 2 2 3 3" xfId="5197" xr:uid="{00000000-0005-0000-0000-000011170000}"/>
    <cellStyle name="Normal 5 2 2 2 2 2 3 3 2" xfId="14479" xr:uid="{33666533-A234-4269-A20A-13BE5597AAD2}"/>
    <cellStyle name="Normal 5 2 2 2 2 2 3 4" xfId="10262" xr:uid="{B4DF7E33-F6D8-48ED-B052-1F75F42F1CF4}"/>
    <cellStyle name="Normal 5 2 2 2 2 2 3 5" xfId="9434" xr:uid="{EBEBBEEB-736B-4C7D-8FFC-6030D26E4EDC}"/>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37" xr:uid="{C45FEC13-E7D2-4ABF-9BF2-3E212523400E}"/>
    <cellStyle name="Normal 5 2 2 2 2 2 4 2 3" xfId="12820" xr:uid="{D99EFDB6-F338-4F9E-BB18-8F9BD4050E96}"/>
    <cellStyle name="Normal 5 2 2 2 2 2 4 3" xfId="5610" xr:uid="{00000000-0005-0000-0000-000015170000}"/>
    <cellStyle name="Normal 5 2 2 2 2 2 4 3 2" xfId="14892" xr:uid="{6F7ECBBB-4635-4772-B523-8E4EED138950}"/>
    <cellStyle name="Normal 5 2 2 2 2 2 4 4" xfId="10675" xr:uid="{E0D1D420-BE08-4E98-A7D8-6A00CD1A4CCB}"/>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50" xr:uid="{F86ED368-E8AB-4DF1-A160-A5072BAA0C2B}"/>
    <cellStyle name="Normal 5 2 2 2 2 2 5 2 3" xfId="13233" xr:uid="{5D0475B0-E8C9-4AC1-B897-8EC612EF8A32}"/>
    <cellStyle name="Normal 5 2 2 2 2 2 5 3" xfId="6023" xr:uid="{00000000-0005-0000-0000-000019170000}"/>
    <cellStyle name="Normal 5 2 2 2 2 2 5 3 2" xfId="15305" xr:uid="{22DFC523-D855-4EB0-ACC3-7DE58D91C896}"/>
    <cellStyle name="Normal 5 2 2 2 2 2 5 4" xfId="11088" xr:uid="{7C1486AE-B023-4852-A3EE-975EDBF0F09B}"/>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863" xr:uid="{66038C9B-AE83-4721-9B60-6B8BDC9DC458}"/>
    <cellStyle name="Normal 5 2 2 2 2 2 6 2 3" xfId="13646" xr:uid="{5D1B47CD-0E8D-43BE-94E6-1148112DAE30}"/>
    <cellStyle name="Normal 5 2 2 2 2 2 6 3" xfId="6436" xr:uid="{00000000-0005-0000-0000-00001D170000}"/>
    <cellStyle name="Normal 5 2 2 2 2 2 6 3 2" xfId="15718" xr:uid="{A1495A36-7307-43D2-8EAD-88A7DC4D7FC3}"/>
    <cellStyle name="Normal 5 2 2 2 2 2 6 4" xfId="11501" xr:uid="{4A6318C4-21D3-4EF2-B48E-B29E13F740F0}"/>
    <cellStyle name="Normal 5 2 2 2 2 2 7" xfId="2566" xr:uid="{00000000-0005-0000-0000-00001E170000}"/>
    <cellStyle name="Normal 5 2 2 2 2 2 7 2" xfId="6849" xr:uid="{00000000-0005-0000-0000-00001F170000}"/>
    <cellStyle name="Normal 5 2 2 2 2 2 7 2 2" xfId="16131" xr:uid="{551B7092-79D3-4AED-A81C-7A45E7C9D217}"/>
    <cellStyle name="Normal 5 2 2 2 2 2 7 3" xfId="11914" xr:uid="{EABF245B-DB05-47A5-A12C-D538C4E55521}"/>
    <cellStyle name="Normal 5 2 2 2 2 2 8" xfId="4784" xr:uid="{00000000-0005-0000-0000-000020170000}"/>
    <cellStyle name="Normal 5 2 2 2 2 2 8 2" xfId="14066" xr:uid="{3275B718-4B72-4A0D-B855-6DA4D59667AD}"/>
    <cellStyle name="Normal 5 2 2 2 2 2 9" xfId="9849" xr:uid="{B9345261-71BE-4F7D-9F9D-582FA23FD86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26" xr:uid="{3A597229-D797-4977-B5DB-E4BB830E1FA5}"/>
    <cellStyle name="Normal 5 2 2 2 2 3 2 2 3" xfId="12409" xr:uid="{8131D5BF-D23B-404E-B1C7-3C32F0B6DAAB}"/>
    <cellStyle name="Normal 5 2 2 2 2 3 2 3" xfId="5199" xr:uid="{00000000-0005-0000-0000-000025170000}"/>
    <cellStyle name="Normal 5 2 2 2 2 3 2 3 2" xfId="14481" xr:uid="{2A51A33A-4189-44DB-906C-5E8E6059671D}"/>
    <cellStyle name="Normal 5 2 2 2 2 3 2 4" xfId="10264" xr:uid="{F780A0E8-D114-438B-AD1C-512A2F155508}"/>
    <cellStyle name="Normal 5 2 2 2 2 3 2 5" xfId="9436" xr:uid="{7352D966-BB3C-4BF9-AE0E-5389FB34141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39" xr:uid="{6DD88384-C2E3-4A00-9B6C-26B6205EF0D7}"/>
    <cellStyle name="Normal 5 2 2 2 2 3 3 2 3" xfId="12822" xr:uid="{ED1C9C25-958E-47AA-80D9-67E4196DAAFB}"/>
    <cellStyle name="Normal 5 2 2 2 2 3 3 3" xfId="5612" xr:uid="{00000000-0005-0000-0000-000029170000}"/>
    <cellStyle name="Normal 5 2 2 2 2 3 3 3 2" xfId="14894" xr:uid="{5A0567D6-8BF9-4E03-A335-A1BAA916228A}"/>
    <cellStyle name="Normal 5 2 2 2 2 3 3 4" xfId="10677" xr:uid="{B4433DB7-5540-496C-800D-7C278EC7F35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52" xr:uid="{532B0F66-8161-44D0-8643-2225F54E4019}"/>
    <cellStyle name="Normal 5 2 2 2 2 3 4 2 3" xfId="13235" xr:uid="{3B417285-1B76-4717-A2AC-B3B0F1747070}"/>
    <cellStyle name="Normal 5 2 2 2 2 3 4 3" xfId="6025" xr:uid="{00000000-0005-0000-0000-00002D170000}"/>
    <cellStyle name="Normal 5 2 2 2 2 3 4 3 2" xfId="15307" xr:uid="{2660C82D-680D-43B0-89F9-A2430FE53191}"/>
    <cellStyle name="Normal 5 2 2 2 2 3 4 4" xfId="11090" xr:uid="{A7771BD4-1051-4FFA-BDE7-82482497AB6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865" xr:uid="{8CF6F627-D9C5-4A93-BE5A-48AA56718CBC}"/>
    <cellStyle name="Normal 5 2 2 2 2 3 5 2 3" xfId="13648" xr:uid="{3A78049A-BB9D-4ED1-92B9-F17108E4EC21}"/>
    <cellStyle name="Normal 5 2 2 2 2 3 5 3" xfId="6438" xr:uid="{00000000-0005-0000-0000-000031170000}"/>
    <cellStyle name="Normal 5 2 2 2 2 3 5 3 2" xfId="15720" xr:uid="{5EF8C955-87CE-487D-97F9-0C5104E8F9CA}"/>
    <cellStyle name="Normal 5 2 2 2 2 3 5 4" xfId="11503" xr:uid="{FEF3C932-B197-4053-A319-8362A16C2D5A}"/>
    <cellStyle name="Normal 5 2 2 2 2 3 6" xfId="2568" xr:uid="{00000000-0005-0000-0000-000032170000}"/>
    <cellStyle name="Normal 5 2 2 2 2 3 6 2" xfId="6851" xr:uid="{00000000-0005-0000-0000-000033170000}"/>
    <cellStyle name="Normal 5 2 2 2 2 3 6 2 2" xfId="16133" xr:uid="{84762181-D3D2-47A7-A960-0967FE705CCC}"/>
    <cellStyle name="Normal 5 2 2 2 2 3 6 3" xfId="11916" xr:uid="{4C1FB20C-6944-4DDC-89C9-A3A670AFF324}"/>
    <cellStyle name="Normal 5 2 2 2 2 3 7" xfId="4786" xr:uid="{00000000-0005-0000-0000-000034170000}"/>
    <cellStyle name="Normal 5 2 2 2 2 3 7 2" xfId="14068" xr:uid="{07B981E5-B5CC-440E-9A66-25A895288BFF}"/>
    <cellStyle name="Normal 5 2 2 2 2 3 8" xfId="9851" xr:uid="{C725F1D0-829B-42F4-9F68-BD833FBA5C81}"/>
    <cellStyle name="Normal 5 2 2 2 2 3 9" xfId="9017" xr:uid="{DD1ECCB2-AE37-44C7-A07F-02ED5E99F671}"/>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23" xr:uid="{CE68EF96-8797-496F-9CC2-1E3DA25053F0}"/>
    <cellStyle name="Normal 5 2 2 2 2 4 2 3" xfId="12406" xr:uid="{071FA2F6-E5AA-406E-84FB-B32948BB1C4B}"/>
    <cellStyle name="Normal 5 2 2 2 2 4 3" xfId="5196" xr:uid="{00000000-0005-0000-0000-000038170000}"/>
    <cellStyle name="Normal 5 2 2 2 2 4 3 2" xfId="14478" xr:uid="{099890AE-2253-449D-8374-D42306D457A2}"/>
    <cellStyle name="Normal 5 2 2 2 2 4 4" xfId="10261" xr:uid="{C694947E-2E1D-428F-BE83-A46249EB17BC}"/>
    <cellStyle name="Normal 5 2 2 2 2 4 5" xfId="9433" xr:uid="{7DAF88DD-C8C4-48A0-B9BD-523CEEFCEFDC}"/>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36" xr:uid="{58112A5E-6D30-4F56-8DC7-69AFEB9D143E}"/>
    <cellStyle name="Normal 5 2 2 2 2 5 2 3" xfId="12819" xr:uid="{2BD69DCF-1BC4-4F76-A622-A6627775032C}"/>
    <cellStyle name="Normal 5 2 2 2 2 5 3" xfId="5609" xr:uid="{00000000-0005-0000-0000-00003C170000}"/>
    <cellStyle name="Normal 5 2 2 2 2 5 3 2" xfId="14891" xr:uid="{BC7FEEDE-3DC4-4DA6-8B14-6151214AA7F1}"/>
    <cellStyle name="Normal 5 2 2 2 2 5 4" xfId="10674" xr:uid="{02E85106-F2A1-41D6-9199-B4DB48891D47}"/>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49" xr:uid="{629E22B5-302A-43A4-AF49-4DA4B8989929}"/>
    <cellStyle name="Normal 5 2 2 2 2 6 2 3" xfId="13232" xr:uid="{ED5D9E06-0F89-405A-A48F-683E19C76ACC}"/>
    <cellStyle name="Normal 5 2 2 2 2 6 3" xfId="6022" xr:uid="{00000000-0005-0000-0000-000040170000}"/>
    <cellStyle name="Normal 5 2 2 2 2 6 3 2" xfId="15304" xr:uid="{E528953A-BE2B-42AE-A68B-57EC630B8EB6}"/>
    <cellStyle name="Normal 5 2 2 2 2 6 4" xfId="11087" xr:uid="{ADDF6E07-588C-48C4-8354-2FD4C4FCE27F}"/>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862" xr:uid="{8643B3E3-B10E-4858-A8B5-A2F64224A118}"/>
    <cellStyle name="Normal 5 2 2 2 2 7 2 3" xfId="13645" xr:uid="{34DB9F47-EC0D-47AF-B357-EE52496116E8}"/>
    <cellStyle name="Normal 5 2 2 2 2 7 3" xfId="6435" xr:uid="{00000000-0005-0000-0000-000044170000}"/>
    <cellStyle name="Normal 5 2 2 2 2 7 3 2" xfId="15717" xr:uid="{23E534D9-98A0-48B5-A6AA-CC2E7338F43C}"/>
    <cellStyle name="Normal 5 2 2 2 2 7 4" xfId="11500" xr:uid="{1D9A3795-8286-4027-AE2C-623ADD7BDE63}"/>
    <cellStyle name="Normal 5 2 2 2 2 8" xfId="2565" xr:uid="{00000000-0005-0000-0000-000045170000}"/>
    <cellStyle name="Normal 5 2 2 2 2 8 2" xfId="6848" xr:uid="{00000000-0005-0000-0000-000046170000}"/>
    <cellStyle name="Normal 5 2 2 2 2 8 2 2" xfId="16130" xr:uid="{CFD5128B-BEB2-4936-A2BF-CAB37CBF44D2}"/>
    <cellStyle name="Normal 5 2 2 2 2 8 3" xfId="11913" xr:uid="{AF3D958A-340D-4415-9920-3B70E13452F0}"/>
    <cellStyle name="Normal 5 2 2 2 2 9" xfId="4783" xr:uid="{00000000-0005-0000-0000-000047170000}"/>
    <cellStyle name="Normal 5 2 2 2 2 9 2" xfId="14065" xr:uid="{C780B67E-7EE5-4463-85F0-B2E45CB1474A}"/>
    <cellStyle name="Normal 5 2 2 2 3" xfId="414" xr:uid="{00000000-0005-0000-0000-000048170000}"/>
    <cellStyle name="Normal 5 2 2 2 3 10" xfId="9018" xr:uid="{B219EF85-7711-4833-BDFE-1D7346484B89}"/>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28" xr:uid="{3723BFF1-864C-4D4C-8B00-B10D724694B7}"/>
    <cellStyle name="Normal 5 2 2 2 3 2 2 2 3" xfId="12411" xr:uid="{DDCF9E60-E6CB-4637-98E8-990B8C85328C}"/>
    <cellStyle name="Normal 5 2 2 2 3 2 2 3" xfId="5201" xr:uid="{00000000-0005-0000-0000-00004D170000}"/>
    <cellStyle name="Normal 5 2 2 2 3 2 2 3 2" xfId="14483" xr:uid="{7563AA18-A6A8-44CE-9039-C6A0147E832A}"/>
    <cellStyle name="Normal 5 2 2 2 3 2 2 4" xfId="10266" xr:uid="{AD6EF291-05AE-480B-A08E-E4834DAC39FD}"/>
    <cellStyle name="Normal 5 2 2 2 3 2 2 5" xfId="9438" xr:uid="{A85702A2-38B1-4045-A47A-34FEE966BD1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41" xr:uid="{158DFB05-944A-4BC9-BA41-3C1EF13BC80C}"/>
    <cellStyle name="Normal 5 2 2 2 3 2 3 2 3" xfId="12824" xr:uid="{9678C61F-EC0E-42B6-BE9D-93E5BFA64ED4}"/>
    <cellStyle name="Normal 5 2 2 2 3 2 3 3" xfId="5614" xr:uid="{00000000-0005-0000-0000-000051170000}"/>
    <cellStyle name="Normal 5 2 2 2 3 2 3 3 2" xfId="14896" xr:uid="{55241FBC-1055-46EA-8FF6-7C5171A50E11}"/>
    <cellStyle name="Normal 5 2 2 2 3 2 3 4" xfId="10679" xr:uid="{68C145D8-52D0-440B-ABF0-A90F19A079C9}"/>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54" xr:uid="{9BA4A327-4088-4612-B8CD-31F61BB4B81D}"/>
    <cellStyle name="Normal 5 2 2 2 3 2 4 2 3" xfId="13237" xr:uid="{B4301A85-271F-4F7F-BC75-44D6FCA10C86}"/>
    <cellStyle name="Normal 5 2 2 2 3 2 4 3" xfId="6027" xr:uid="{00000000-0005-0000-0000-000055170000}"/>
    <cellStyle name="Normal 5 2 2 2 3 2 4 3 2" xfId="15309" xr:uid="{7890A2A7-47E7-42D7-91BA-D1F6B2E0156A}"/>
    <cellStyle name="Normal 5 2 2 2 3 2 4 4" xfId="11092" xr:uid="{5DC95B6D-9848-4003-8F43-848B575421E1}"/>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867" xr:uid="{1389FA73-E616-48B7-B818-BCD972D0777F}"/>
    <cellStyle name="Normal 5 2 2 2 3 2 5 2 3" xfId="13650" xr:uid="{B7555EB6-A37C-40C6-A435-341387D5DBA2}"/>
    <cellStyle name="Normal 5 2 2 2 3 2 5 3" xfId="6440" xr:uid="{00000000-0005-0000-0000-000059170000}"/>
    <cellStyle name="Normal 5 2 2 2 3 2 5 3 2" xfId="15722" xr:uid="{36EA3D50-D044-4537-842C-E79AA8195389}"/>
    <cellStyle name="Normal 5 2 2 2 3 2 5 4" xfId="11505" xr:uid="{3073A5F2-31C8-49A8-999A-0B913237A44F}"/>
    <cellStyle name="Normal 5 2 2 2 3 2 6" xfId="2570" xr:uid="{00000000-0005-0000-0000-00005A170000}"/>
    <cellStyle name="Normal 5 2 2 2 3 2 6 2" xfId="6853" xr:uid="{00000000-0005-0000-0000-00005B170000}"/>
    <cellStyle name="Normal 5 2 2 2 3 2 6 2 2" xfId="16135" xr:uid="{DFD1F10F-8A64-4D4B-87BB-0446AF5730FB}"/>
    <cellStyle name="Normal 5 2 2 2 3 2 6 3" xfId="11918" xr:uid="{AA47BDA6-FE34-4CA5-9569-3ADF9589672E}"/>
    <cellStyle name="Normal 5 2 2 2 3 2 7" xfId="4788" xr:uid="{00000000-0005-0000-0000-00005C170000}"/>
    <cellStyle name="Normal 5 2 2 2 3 2 7 2" xfId="14070" xr:uid="{52AC12BC-D64A-4147-BE51-2F3438EB7410}"/>
    <cellStyle name="Normal 5 2 2 2 3 2 8" xfId="9853" xr:uid="{E8138654-881A-460F-9626-7284CCE6CCA4}"/>
    <cellStyle name="Normal 5 2 2 2 3 2 9" xfId="9019" xr:uid="{E1651BCB-E49B-462C-AB8D-077D2441262B}"/>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27" xr:uid="{B73B56B2-5DE5-4D64-9FB0-206D5DD572D3}"/>
    <cellStyle name="Normal 5 2 2 2 3 3 2 3" xfId="12410" xr:uid="{9844CAB6-5AD3-4DDD-B29F-7CB979DBB9A5}"/>
    <cellStyle name="Normal 5 2 2 2 3 3 3" xfId="5200" xr:uid="{00000000-0005-0000-0000-000060170000}"/>
    <cellStyle name="Normal 5 2 2 2 3 3 3 2" xfId="14482" xr:uid="{74AA4E25-30DE-4A10-96B4-2E2C6A5766FE}"/>
    <cellStyle name="Normal 5 2 2 2 3 3 4" xfId="10265" xr:uid="{D3FD56F8-1585-40C1-9020-138927DF5113}"/>
    <cellStyle name="Normal 5 2 2 2 3 3 5" xfId="9437" xr:uid="{60054B04-E257-4430-B062-4BF71ADBA6D2}"/>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40" xr:uid="{C0FADE1C-7EBD-4AD4-A5F3-3B3382F2FC92}"/>
    <cellStyle name="Normal 5 2 2 2 3 4 2 3" xfId="12823" xr:uid="{A144BA11-8C8B-4DF7-BA3E-AE82BC643B4B}"/>
    <cellStyle name="Normal 5 2 2 2 3 4 3" xfId="5613" xr:uid="{00000000-0005-0000-0000-000064170000}"/>
    <cellStyle name="Normal 5 2 2 2 3 4 3 2" xfId="14895" xr:uid="{E082BA1D-3970-456E-8DD0-7A05AA371E9A}"/>
    <cellStyle name="Normal 5 2 2 2 3 4 4" xfId="10678" xr:uid="{D365E9A7-BCFD-4309-8389-F4B62872A7F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53" xr:uid="{43459C1C-DB2A-452B-A00D-B31F8423F3E4}"/>
    <cellStyle name="Normal 5 2 2 2 3 5 2 3" xfId="13236" xr:uid="{9F0428DE-6D23-488E-BB2D-9E5D83E962F3}"/>
    <cellStyle name="Normal 5 2 2 2 3 5 3" xfId="6026" xr:uid="{00000000-0005-0000-0000-000068170000}"/>
    <cellStyle name="Normal 5 2 2 2 3 5 3 2" xfId="15308" xr:uid="{4B512581-7D7D-48A1-AAF1-12681D6B2A73}"/>
    <cellStyle name="Normal 5 2 2 2 3 5 4" xfId="11091" xr:uid="{894EF1BA-FD07-4650-BB17-B31859285B2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866" xr:uid="{6B8C080F-D117-4D1C-9564-13EBC2705CC7}"/>
    <cellStyle name="Normal 5 2 2 2 3 6 2 3" xfId="13649" xr:uid="{ACF9659F-3C62-4D26-8F92-5E3D1E29702A}"/>
    <cellStyle name="Normal 5 2 2 2 3 6 3" xfId="6439" xr:uid="{00000000-0005-0000-0000-00006C170000}"/>
    <cellStyle name="Normal 5 2 2 2 3 6 3 2" xfId="15721" xr:uid="{C2F6A4FE-D76D-4E90-A761-42D8E389AE40}"/>
    <cellStyle name="Normal 5 2 2 2 3 6 4" xfId="11504" xr:uid="{EC7EB406-1A4C-47A9-AD68-74BF14516033}"/>
    <cellStyle name="Normal 5 2 2 2 3 7" xfId="2569" xr:uid="{00000000-0005-0000-0000-00006D170000}"/>
    <cellStyle name="Normal 5 2 2 2 3 7 2" xfId="6852" xr:uid="{00000000-0005-0000-0000-00006E170000}"/>
    <cellStyle name="Normal 5 2 2 2 3 7 2 2" xfId="16134" xr:uid="{7F09BB83-B6B2-40D6-BE37-D6F1E97174D9}"/>
    <cellStyle name="Normal 5 2 2 2 3 7 3" xfId="11917" xr:uid="{617C0061-2615-4F9B-AB73-CF445BE752DD}"/>
    <cellStyle name="Normal 5 2 2 2 3 8" xfId="4787" xr:uid="{00000000-0005-0000-0000-00006F170000}"/>
    <cellStyle name="Normal 5 2 2 2 3 8 2" xfId="14069" xr:uid="{EC83C64B-8A84-44CB-9878-61DB7B9EEEF9}"/>
    <cellStyle name="Normal 5 2 2 2 3 9" xfId="9852" xr:uid="{D445CFEA-5693-4E03-B521-CE172069803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29" xr:uid="{41BE38ED-7E31-442E-A9EA-DFF97B2A8530}"/>
    <cellStyle name="Normal 5 2 2 2 4 2 2 3" xfId="12412" xr:uid="{21DE36D1-AC38-48EB-B120-A34AB083297A}"/>
    <cellStyle name="Normal 5 2 2 2 4 2 3" xfId="5202" xr:uid="{00000000-0005-0000-0000-000074170000}"/>
    <cellStyle name="Normal 5 2 2 2 4 2 3 2" xfId="14484" xr:uid="{9CD42A55-EDFD-4329-B692-7FAE81C056FC}"/>
    <cellStyle name="Normal 5 2 2 2 4 2 4" xfId="10267" xr:uid="{E4E38792-904E-4DE6-8328-4904E2A5C46E}"/>
    <cellStyle name="Normal 5 2 2 2 4 2 5" xfId="9439" xr:uid="{8D8A898B-C031-4028-8D8B-CE24B66A65E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42" xr:uid="{2D88B6B1-611B-4367-9837-AF126967E193}"/>
    <cellStyle name="Normal 5 2 2 2 4 3 2 3" xfId="12825" xr:uid="{56A03708-9E59-4420-994E-7FBDB52754A6}"/>
    <cellStyle name="Normal 5 2 2 2 4 3 3" xfId="5615" xr:uid="{00000000-0005-0000-0000-000078170000}"/>
    <cellStyle name="Normal 5 2 2 2 4 3 3 2" xfId="14897" xr:uid="{DECD501D-50F1-4968-BC09-D337A69465DE}"/>
    <cellStyle name="Normal 5 2 2 2 4 3 4" xfId="10680" xr:uid="{1C33DD43-D179-4CE0-A3C1-48F3C1CF03B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55" xr:uid="{3A5F30E5-A26C-46BC-81DE-C2A1F8EF7B68}"/>
    <cellStyle name="Normal 5 2 2 2 4 4 2 3" xfId="13238" xr:uid="{BCD19882-8FBF-49F7-A900-C8688EA1931A}"/>
    <cellStyle name="Normal 5 2 2 2 4 4 3" xfId="6028" xr:uid="{00000000-0005-0000-0000-00007C170000}"/>
    <cellStyle name="Normal 5 2 2 2 4 4 3 2" xfId="15310" xr:uid="{ADCA7F58-74E6-4670-BBF7-F730151DB7B5}"/>
    <cellStyle name="Normal 5 2 2 2 4 4 4" xfId="11093" xr:uid="{1574EC5F-102E-4803-B8BA-AD57E90A649A}"/>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868" xr:uid="{C629586C-9A6D-42AF-BF01-4454B00CA301}"/>
    <cellStyle name="Normal 5 2 2 2 4 5 2 3" xfId="13651" xr:uid="{87DDAFC0-2496-4163-BC27-2FB0D22DF649}"/>
    <cellStyle name="Normal 5 2 2 2 4 5 3" xfId="6441" xr:uid="{00000000-0005-0000-0000-000080170000}"/>
    <cellStyle name="Normal 5 2 2 2 4 5 3 2" xfId="15723" xr:uid="{6675FF6F-7F91-4032-967A-D5373C319F41}"/>
    <cellStyle name="Normal 5 2 2 2 4 5 4" xfId="11506" xr:uid="{86C3B164-E387-4866-8217-8B6F86A912B1}"/>
    <cellStyle name="Normal 5 2 2 2 4 6" xfId="2571" xr:uid="{00000000-0005-0000-0000-000081170000}"/>
    <cellStyle name="Normal 5 2 2 2 4 6 2" xfId="6854" xr:uid="{00000000-0005-0000-0000-000082170000}"/>
    <cellStyle name="Normal 5 2 2 2 4 6 2 2" xfId="16136" xr:uid="{76BBCD35-6C42-41A0-8498-B14AC425B795}"/>
    <cellStyle name="Normal 5 2 2 2 4 6 3" xfId="11919" xr:uid="{47BB5D70-13C9-41D8-AA2A-3287641A9788}"/>
    <cellStyle name="Normal 5 2 2 2 4 7" xfId="4789" xr:uid="{00000000-0005-0000-0000-000083170000}"/>
    <cellStyle name="Normal 5 2 2 2 4 7 2" xfId="14071" xr:uid="{83D3BD14-3F2D-4799-82AA-67CA2B97D470}"/>
    <cellStyle name="Normal 5 2 2 2 4 8" xfId="9854" xr:uid="{BAC1FF26-16A6-4593-9522-8D66CBAE6F56}"/>
    <cellStyle name="Normal 5 2 2 2 4 9" xfId="9020" xr:uid="{0020A52E-3B65-4A27-BEDE-679FBC4D9270}"/>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22" xr:uid="{1FFEE62D-9EB2-4E7D-A6E0-34D797815E78}"/>
    <cellStyle name="Normal 5 2 2 2 5 2 3" xfId="12405" xr:uid="{F055AC13-2F8C-48BF-BDE2-315DA665A63F}"/>
    <cellStyle name="Normal 5 2 2 2 5 3" xfId="5195" xr:uid="{00000000-0005-0000-0000-000087170000}"/>
    <cellStyle name="Normal 5 2 2 2 5 3 2" xfId="14477" xr:uid="{4238B219-5840-4CDB-988B-32B8313C9706}"/>
    <cellStyle name="Normal 5 2 2 2 5 4" xfId="10260" xr:uid="{713BA2BD-E537-459A-998C-54F44911F2B8}"/>
    <cellStyle name="Normal 5 2 2 2 5 5" xfId="9432" xr:uid="{0A8C941D-27B6-45F2-A2FA-F5D6BE4DC34C}"/>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35" xr:uid="{9C1176EC-FF48-4B1D-A4B8-8A9140AD3919}"/>
    <cellStyle name="Normal 5 2 2 2 6 2 3" xfId="12818" xr:uid="{3C7E9317-959E-4343-90DF-4CF80F775534}"/>
    <cellStyle name="Normal 5 2 2 2 6 3" xfId="5608" xr:uid="{00000000-0005-0000-0000-00008B170000}"/>
    <cellStyle name="Normal 5 2 2 2 6 3 2" xfId="14890" xr:uid="{EEC9BE19-64AA-4511-832D-2AAA6E099990}"/>
    <cellStyle name="Normal 5 2 2 2 6 4" xfId="10673" xr:uid="{3EE382A7-0C9C-4127-9F47-B66E9CF4634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48" xr:uid="{F8AE510D-B0A3-40BA-AA64-5549DCCB07BC}"/>
    <cellStyle name="Normal 5 2 2 2 7 2 3" xfId="13231" xr:uid="{9C3EC086-2C81-4BBC-B63E-83C5FF396325}"/>
    <cellStyle name="Normal 5 2 2 2 7 3" xfId="6021" xr:uid="{00000000-0005-0000-0000-00008F170000}"/>
    <cellStyle name="Normal 5 2 2 2 7 3 2" xfId="15303" xr:uid="{243FA916-B935-4AA3-B218-9FD4E5D80A90}"/>
    <cellStyle name="Normal 5 2 2 2 7 4" xfId="11086" xr:uid="{7CE0B17F-5952-496C-ABC1-3E3FBA264B0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861" xr:uid="{2F4AA417-A333-432F-B1E2-9EEDEA256D5A}"/>
    <cellStyle name="Normal 5 2 2 2 8 2 3" xfId="13644" xr:uid="{D8DFF979-F217-4821-8DE6-7D385A09AB62}"/>
    <cellStyle name="Normal 5 2 2 2 8 3" xfId="6434" xr:uid="{00000000-0005-0000-0000-000093170000}"/>
    <cellStyle name="Normal 5 2 2 2 8 3 2" xfId="15716" xr:uid="{9C646B2B-7E70-4AE7-8B4C-9709D42AB495}"/>
    <cellStyle name="Normal 5 2 2 2 8 4" xfId="11499" xr:uid="{CA572366-7F0B-4ECD-89BD-B08E962E9283}"/>
    <cellStyle name="Normal 5 2 2 2 9" xfId="2564" xr:uid="{00000000-0005-0000-0000-000094170000}"/>
    <cellStyle name="Normal 5 2 2 2 9 2" xfId="6847" xr:uid="{00000000-0005-0000-0000-000095170000}"/>
    <cellStyle name="Normal 5 2 2 2 9 2 2" xfId="16129" xr:uid="{90A7DF84-2725-41FD-AC53-E138F1FA6B32}"/>
    <cellStyle name="Normal 5 2 2 2 9 3" xfId="11912" xr:uid="{46C735B5-9022-4230-AA1A-51F9F67ACC34}"/>
    <cellStyle name="Normal 5 2 2 3" xfId="417" xr:uid="{00000000-0005-0000-0000-000096170000}"/>
    <cellStyle name="Normal 5 2 2 3 10" xfId="9855" xr:uid="{9DF979AE-A5BA-4721-BA27-8060D09F47FE}"/>
    <cellStyle name="Normal 5 2 2 3 11" xfId="9021" xr:uid="{19612E69-1BA3-490E-BACE-0706A17E2C76}"/>
    <cellStyle name="Normal 5 2 2 3 2" xfId="418" xr:uid="{00000000-0005-0000-0000-000097170000}"/>
    <cellStyle name="Normal 5 2 2 3 2 10" xfId="9022" xr:uid="{D3D46282-C3E0-45F1-9034-CCF64A7CE48B}"/>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32" xr:uid="{51F178D2-EC23-4F91-9073-EC5C74BCFFD5}"/>
    <cellStyle name="Normal 5 2 2 3 2 2 2 2 3" xfId="12415" xr:uid="{36869496-21F9-4D10-AD6C-541181ADF3E1}"/>
    <cellStyle name="Normal 5 2 2 3 2 2 2 3" xfId="5205" xr:uid="{00000000-0005-0000-0000-00009C170000}"/>
    <cellStyle name="Normal 5 2 2 3 2 2 2 3 2" xfId="14487" xr:uid="{89F7D5CD-202D-435B-9C48-6A31178B660E}"/>
    <cellStyle name="Normal 5 2 2 3 2 2 2 4" xfId="10270" xr:uid="{A6C31F60-85BE-4F97-8CCE-3E953EFA021B}"/>
    <cellStyle name="Normal 5 2 2 3 2 2 2 5" xfId="9442" xr:uid="{A2F31F43-A088-4DA3-93CD-A8261911F84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45" xr:uid="{4F9B5B36-F2BC-454F-ADE9-A0934A462AA6}"/>
    <cellStyle name="Normal 5 2 2 3 2 2 3 2 3" xfId="12828" xr:uid="{8A5663BA-B1A9-438E-941B-1A8EE546EA7D}"/>
    <cellStyle name="Normal 5 2 2 3 2 2 3 3" xfId="5618" xr:uid="{00000000-0005-0000-0000-0000A0170000}"/>
    <cellStyle name="Normal 5 2 2 3 2 2 3 3 2" xfId="14900" xr:uid="{11107DB3-5ED8-429F-B0BD-DFE80FE79EEF}"/>
    <cellStyle name="Normal 5 2 2 3 2 2 3 4" xfId="10683" xr:uid="{A0200963-57DB-431B-AE8A-8065CFB5A94E}"/>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458" xr:uid="{5DFDC823-3CE3-4873-9EC3-CDA8B43FBFC1}"/>
    <cellStyle name="Normal 5 2 2 3 2 2 4 2 3" xfId="13241" xr:uid="{E397113D-DA94-417E-B2F8-A95AEFD314A0}"/>
    <cellStyle name="Normal 5 2 2 3 2 2 4 3" xfId="6031" xr:uid="{00000000-0005-0000-0000-0000A4170000}"/>
    <cellStyle name="Normal 5 2 2 3 2 2 4 3 2" xfId="15313" xr:uid="{331DC92B-CB5D-49D9-B3B1-1CBE6E533C14}"/>
    <cellStyle name="Normal 5 2 2 3 2 2 4 4" xfId="11096" xr:uid="{6C957938-6868-43BF-B4F2-36A3F8D2217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871" xr:uid="{0372F70D-6F9D-40AD-BA29-2FE95F16E2C1}"/>
    <cellStyle name="Normal 5 2 2 3 2 2 5 2 3" xfId="13654" xr:uid="{FD14AE18-F231-4DD9-BD8B-1AA9370F577B}"/>
    <cellStyle name="Normal 5 2 2 3 2 2 5 3" xfId="6444" xr:uid="{00000000-0005-0000-0000-0000A8170000}"/>
    <cellStyle name="Normal 5 2 2 3 2 2 5 3 2" xfId="15726" xr:uid="{A847EC2C-D52B-4959-803F-CA7E3C1A157B}"/>
    <cellStyle name="Normal 5 2 2 3 2 2 5 4" xfId="11509" xr:uid="{E14FD495-3940-4896-945D-3328D3930E20}"/>
    <cellStyle name="Normal 5 2 2 3 2 2 6" xfId="2574" xr:uid="{00000000-0005-0000-0000-0000A9170000}"/>
    <cellStyle name="Normal 5 2 2 3 2 2 6 2" xfId="6857" xr:uid="{00000000-0005-0000-0000-0000AA170000}"/>
    <cellStyle name="Normal 5 2 2 3 2 2 6 2 2" xfId="16139" xr:uid="{6AA685C2-4689-4E0D-B473-79A950529D22}"/>
    <cellStyle name="Normal 5 2 2 3 2 2 6 3" xfId="11922" xr:uid="{150CEF4F-68BD-4699-BD8B-2FA6B794D284}"/>
    <cellStyle name="Normal 5 2 2 3 2 2 7" xfId="4792" xr:uid="{00000000-0005-0000-0000-0000AB170000}"/>
    <cellStyle name="Normal 5 2 2 3 2 2 7 2" xfId="14074" xr:uid="{DF1E2D87-CE42-44BE-AB76-37907E82DF56}"/>
    <cellStyle name="Normal 5 2 2 3 2 2 8" xfId="9857" xr:uid="{D2A4033D-CBBD-4A33-BEAA-D3A71412860C}"/>
    <cellStyle name="Normal 5 2 2 3 2 2 9" xfId="9023" xr:uid="{32C7FC26-30AD-403D-802F-BA0E92E8C07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31" xr:uid="{A866D700-3ECC-43A4-AB28-9D48BBC6A917}"/>
    <cellStyle name="Normal 5 2 2 3 2 3 2 3" xfId="12414" xr:uid="{022ED2E0-28B3-4EB6-BE50-CBA75683A739}"/>
    <cellStyle name="Normal 5 2 2 3 2 3 3" xfId="5204" xr:uid="{00000000-0005-0000-0000-0000AF170000}"/>
    <cellStyle name="Normal 5 2 2 3 2 3 3 2" xfId="14486" xr:uid="{52C33508-9A31-4CAC-BD43-BF68530C3CAB}"/>
    <cellStyle name="Normal 5 2 2 3 2 3 4" xfId="10269" xr:uid="{5F49B7D9-8EC8-4AC4-AC23-147552C5F53F}"/>
    <cellStyle name="Normal 5 2 2 3 2 3 5" xfId="9441" xr:uid="{DBF9151C-BCF9-47A7-A6ED-36C983E52448}"/>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44" xr:uid="{3360CCD2-9150-4552-9A1A-BAC2BB6FCE82}"/>
    <cellStyle name="Normal 5 2 2 3 2 4 2 3" xfId="12827" xr:uid="{0B46B0CE-2EFD-4168-AFD3-69CCA96A4B40}"/>
    <cellStyle name="Normal 5 2 2 3 2 4 3" xfId="5617" xr:uid="{00000000-0005-0000-0000-0000B3170000}"/>
    <cellStyle name="Normal 5 2 2 3 2 4 3 2" xfId="14899" xr:uid="{B8ABA0F1-76CD-4892-8B7C-953B8D028295}"/>
    <cellStyle name="Normal 5 2 2 3 2 4 4" xfId="10682" xr:uid="{AFA2E806-7A9E-4CE7-AF40-FDA8DBB2A309}"/>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457" xr:uid="{4C699900-7C5E-4974-BA56-52C0B75E8204}"/>
    <cellStyle name="Normal 5 2 2 3 2 5 2 3" xfId="13240" xr:uid="{6BFB26FC-B192-4CD3-85A9-642F155F5796}"/>
    <cellStyle name="Normal 5 2 2 3 2 5 3" xfId="6030" xr:uid="{00000000-0005-0000-0000-0000B7170000}"/>
    <cellStyle name="Normal 5 2 2 3 2 5 3 2" xfId="15312" xr:uid="{95CB8F9F-CC9D-4322-B724-A518E1F82E9F}"/>
    <cellStyle name="Normal 5 2 2 3 2 5 4" xfId="11095" xr:uid="{510027A0-51DD-47EB-842E-52F096BDBEA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870" xr:uid="{56DD2DDD-338B-49CA-919B-C860A2FDFEAE}"/>
    <cellStyle name="Normal 5 2 2 3 2 6 2 3" xfId="13653" xr:uid="{510A679D-F7D3-4AD7-8A52-65040945ADDF}"/>
    <cellStyle name="Normal 5 2 2 3 2 6 3" xfId="6443" xr:uid="{00000000-0005-0000-0000-0000BB170000}"/>
    <cellStyle name="Normal 5 2 2 3 2 6 3 2" xfId="15725" xr:uid="{A46816A8-0497-4CFE-A79E-2A6FA644E0CE}"/>
    <cellStyle name="Normal 5 2 2 3 2 6 4" xfId="11508" xr:uid="{8B88553D-CBC5-4DDA-83FB-5CDD162E3986}"/>
    <cellStyle name="Normal 5 2 2 3 2 7" xfId="2573" xr:uid="{00000000-0005-0000-0000-0000BC170000}"/>
    <cellStyle name="Normal 5 2 2 3 2 7 2" xfId="6856" xr:uid="{00000000-0005-0000-0000-0000BD170000}"/>
    <cellStyle name="Normal 5 2 2 3 2 7 2 2" xfId="16138" xr:uid="{9CDF5774-6078-4B83-A21E-FCF38C17D403}"/>
    <cellStyle name="Normal 5 2 2 3 2 7 3" xfId="11921" xr:uid="{4FC023DB-F1A5-4963-9385-54E49EDAAF24}"/>
    <cellStyle name="Normal 5 2 2 3 2 8" xfId="4791" xr:uid="{00000000-0005-0000-0000-0000BE170000}"/>
    <cellStyle name="Normal 5 2 2 3 2 8 2" xfId="14073" xr:uid="{AF2C9146-58D9-4BE7-BF90-F3629A3C15D9}"/>
    <cellStyle name="Normal 5 2 2 3 2 9" xfId="9856" xr:uid="{9041420D-9136-46BC-9BFD-886C6364D4F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33" xr:uid="{074CB326-217E-4C33-BCAE-5349781FD6A1}"/>
    <cellStyle name="Normal 5 2 2 3 3 2 2 3" xfId="12416" xr:uid="{06BEB999-FD9E-49C6-8886-B5FFCDD0FBB0}"/>
    <cellStyle name="Normal 5 2 2 3 3 2 3" xfId="5206" xr:uid="{00000000-0005-0000-0000-0000C3170000}"/>
    <cellStyle name="Normal 5 2 2 3 3 2 3 2" xfId="14488" xr:uid="{C5848FED-90ED-4E58-8688-A0A7393882DC}"/>
    <cellStyle name="Normal 5 2 2 3 3 2 4" xfId="10271" xr:uid="{A56557A0-D393-4FEE-9BF4-3F3EDA8CF007}"/>
    <cellStyle name="Normal 5 2 2 3 3 2 5" xfId="9443" xr:uid="{44F59805-518B-41A4-A1D7-C4E4F4F538F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46" xr:uid="{74459B4F-5223-414B-8E99-0D16885729C1}"/>
    <cellStyle name="Normal 5 2 2 3 3 3 2 3" xfId="12829" xr:uid="{675218C0-2F85-44B4-9DD7-C42E3FBF185B}"/>
    <cellStyle name="Normal 5 2 2 3 3 3 3" xfId="5619" xr:uid="{00000000-0005-0000-0000-0000C7170000}"/>
    <cellStyle name="Normal 5 2 2 3 3 3 3 2" xfId="14901" xr:uid="{1A3ACF6A-DF89-4E27-987E-CE7C97CD5A74}"/>
    <cellStyle name="Normal 5 2 2 3 3 3 4" xfId="10684" xr:uid="{31A1A054-2B15-4F83-AF1E-63C16C773ED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459" xr:uid="{EA4AF2F2-2831-4148-88B3-C5DB4F05C88E}"/>
    <cellStyle name="Normal 5 2 2 3 3 4 2 3" xfId="13242" xr:uid="{7EAE1422-9421-4F16-96C3-73FB812D0F8A}"/>
    <cellStyle name="Normal 5 2 2 3 3 4 3" xfId="6032" xr:uid="{00000000-0005-0000-0000-0000CB170000}"/>
    <cellStyle name="Normal 5 2 2 3 3 4 3 2" xfId="15314" xr:uid="{B0BD61F0-265E-4F4A-AA9E-743442419A0D}"/>
    <cellStyle name="Normal 5 2 2 3 3 4 4" xfId="11097" xr:uid="{F84ABD54-D94E-469E-BD5A-FA41E3CA1ABB}"/>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872" xr:uid="{9281CC3B-5E26-4A1C-BF68-491E551BDDAB}"/>
    <cellStyle name="Normal 5 2 2 3 3 5 2 3" xfId="13655" xr:uid="{54C4A0D0-B26B-476A-A20F-E902A5DCC8DE}"/>
    <cellStyle name="Normal 5 2 2 3 3 5 3" xfId="6445" xr:uid="{00000000-0005-0000-0000-0000CF170000}"/>
    <cellStyle name="Normal 5 2 2 3 3 5 3 2" xfId="15727" xr:uid="{33D37CB1-5BBE-4E0A-ABA3-6CDEC91AB7E2}"/>
    <cellStyle name="Normal 5 2 2 3 3 5 4" xfId="11510" xr:uid="{6296E060-03ED-4C1D-BE63-6EB618066008}"/>
    <cellStyle name="Normal 5 2 2 3 3 6" xfId="2575" xr:uid="{00000000-0005-0000-0000-0000D0170000}"/>
    <cellStyle name="Normal 5 2 2 3 3 6 2" xfId="6858" xr:uid="{00000000-0005-0000-0000-0000D1170000}"/>
    <cellStyle name="Normal 5 2 2 3 3 6 2 2" xfId="16140" xr:uid="{86AC11A7-B782-4A19-8202-9A113A164DB5}"/>
    <cellStyle name="Normal 5 2 2 3 3 6 3" xfId="11923" xr:uid="{9C5BA9F7-0313-4D21-8AD1-D78CD6F908D5}"/>
    <cellStyle name="Normal 5 2 2 3 3 7" xfId="4793" xr:uid="{00000000-0005-0000-0000-0000D2170000}"/>
    <cellStyle name="Normal 5 2 2 3 3 7 2" xfId="14075" xr:uid="{4AD6FB72-D802-4ABA-B0B4-6CA284B8D988}"/>
    <cellStyle name="Normal 5 2 2 3 3 8" xfId="9858" xr:uid="{74AE68BE-7FBB-41F9-8851-42666E33D9CA}"/>
    <cellStyle name="Normal 5 2 2 3 3 9" xfId="9024" xr:uid="{389FA9D1-8883-4287-92E9-0BC8E0DECF8F}"/>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30" xr:uid="{44B57811-2191-4975-B130-01F195683BCD}"/>
    <cellStyle name="Normal 5 2 2 3 4 2 3" xfId="12413" xr:uid="{626B2C87-E96F-493E-969C-52E06F7DC28D}"/>
    <cellStyle name="Normal 5 2 2 3 4 3" xfId="5203" xr:uid="{00000000-0005-0000-0000-0000D6170000}"/>
    <cellStyle name="Normal 5 2 2 3 4 3 2" xfId="14485" xr:uid="{74F190DD-4CCA-4B9E-BE41-4B9B3C40302B}"/>
    <cellStyle name="Normal 5 2 2 3 4 4" xfId="10268" xr:uid="{94F7DB82-12D3-416B-9B94-A622508151EA}"/>
    <cellStyle name="Normal 5 2 2 3 4 5" xfId="9440" xr:uid="{B8735536-238E-45BB-A84C-60A0A9C15F4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43" xr:uid="{CD0BC289-FF78-48C6-A03A-8C99F210445B}"/>
    <cellStyle name="Normal 5 2 2 3 5 2 3" xfId="12826" xr:uid="{10AEC0C3-4C09-4401-91F6-E97418B0B7FA}"/>
    <cellStyle name="Normal 5 2 2 3 5 3" xfId="5616" xr:uid="{00000000-0005-0000-0000-0000DA170000}"/>
    <cellStyle name="Normal 5 2 2 3 5 3 2" xfId="14898" xr:uid="{7F6A157D-2EFC-4A99-9ADF-DC3DF06B440A}"/>
    <cellStyle name="Normal 5 2 2 3 5 4" xfId="10681" xr:uid="{7A2A8B4B-8733-4D11-8673-50A321F835E5}"/>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456" xr:uid="{312D923E-5E71-4BC7-9639-6D64723C96B0}"/>
    <cellStyle name="Normal 5 2 2 3 6 2 3" xfId="13239" xr:uid="{6DDE75C6-B793-40CF-892F-5D7581299A91}"/>
    <cellStyle name="Normal 5 2 2 3 6 3" xfId="6029" xr:uid="{00000000-0005-0000-0000-0000DE170000}"/>
    <cellStyle name="Normal 5 2 2 3 6 3 2" xfId="15311" xr:uid="{53347726-5DC0-4DF3-8A53-7DAD47BACAE5}"/>
    <cellStyle name="Normal 5 2 2 3 6 4" xfId="11094" xr:uid="{AF4D54D7-81EE-4D51-B0F6-B983A7742BE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869" xr:uid="{F89DA079-3B38-4FFC-BC2E-CD2C78A31158}"/>
    <cellStyle name="Normal 5 2 2 3 7 2 3" xfId="13652" xr:uid="{2EB8FEAE-1925-400F-B875-FC39CC0F046D}"/>
    <cellStyle name="Normal 5 2 2 3 7 3" xfId="6442" xr:uid="{00000000-0005-0000-0000-0000E2170000}"/>
    <cellStyle name="Normal 5 2 2 3 7 3 2" xfId="15724" xr:uid="{E9A36222-4EB5-4590-89AD-F2F49F6D14AE}"/>
    <cellStyle name="Normal 5 2 2 3 7 4" xfId="11507" xr:uid="{7F71823E-1091-4D68-8DEC-6AFE9A085900}"/>
    <cellStyle name="Normal 5 2 2 3 8" xfId="2572" xr:uid="{00000000-0005-0000-0000-0000E3170000}"/>
    <cellStyle name="Normal 5 2 2 3 8 2" xfId="6855" xr:uid="{00000000-0005-0000-0000-0000E4170000}"/>
    <cellStyle name="Normal 5 2 2 3 8 2 2" xfId="16137" xr:uid="{C673DB6B-18EC-4B0E-8BDD-AECC1405DAF3}"/>
    <cellStyle name="Normal 5 2 2 3 8 3" xfId="11920" xr:uid="{C4351CED-58E0-4E41-B0A3-B3FC5F60E26B}"/>
    <cellStyle name="Normal 5 2 2 3 9" xfId="4790" xr:uid="{00000000-0005-0000-0000-0000E5170000}"/>
    <cellStyle name="Normal 5 2 2 3 9 2" xfId="14072" xr:uid="{06E62A63-EB2E-426F-94F1-2A23D44A69DD}"/>
    <cellStyle name="Normal 5 2 2 4" xfId="421" xr:uid="{00000000-0005-0000-0000-0000E6170000}"/>
    <cellStyle name="Normal 5 2 2 4 10" xfId="9025" xr:uid="{62BCA111-3E5E-4552-891D-0A625BB3B449}"/>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35" xr:uid="{80577D2C-C08D-4C7A-AC42-464C929543EC}"/>
    <cellStyle name="Normal 5 2 2 4 2 2 2 3" xfId="12418" xr:uid="{F297B590-9D57-4675-9252-30A6B93E1464}"/>
    <cellStyle name="Normal 5 2 2 4 2 2 3" xfId="5208" xr:uid="{00000000-0005-0000-0000-0000EB170000}"/>
    <cellStyle name="Normal 5 2 2 4 2 2 3 2" xfId="14490" xr:uid="{DBFEDC4A-3B91-428E-89D0-4645AFEAF714}"/>
    <cellStyle name="Normal 5 2 2 4 2 2 4" xfId="10273" xr:uid="{FD55A6E9-731F-480C-80AB-0F2DB51C4E5F}"/>
    <cellStyle name="Normal 5 2 2 4 2 2 5" xfId="9445" xr:uid="{D14CD640-3F5A-499C-9902-05E62AC9A42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48" xr:uid="{4D7C54C0-4CC5-4E68-91CE-D542D002EFDB}"/>
    <cellStyle name="Normal 5 2 2 4 2 3 2 3" xfId="12831" xr:uid="{CB0A14B4-25B2-429C-BE8A-E8DBEA3A15E4}"/>
    <cellStyle name="Normal 5 2 2 4 2 3 3" xfId="5621" xr:uid="{00000000-0005-0000-0000-0000EF170000}"/>
    <cellStyle name="Normal 5 2 2 4 2 3 3 2" xfId="14903" xr:uid="{7273A426-3AAE-47EA-B642-E7B0F290C2E6}"/>
    <cellStyle name="Normal 5 2 2 4 2 3 4" xfId="10686" xr:uid="{D5D07959-60F1-4E4E-B1CE-C211BB2BE1CE}"/>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461" xr:uid="{A9BDB115-5603-4EB7-AB3B-7F19DA402D88}"/>
    <cellStyle name="Normal 5 2 2 4 2 4 2 3" xfId="13244" xr:uid="{12644A17-F15B-4F39-BB54-C8B6933476E7}"/>
    <cellStyle name="Normal 5 2 2 4 2 4 3" xfId="6034" xr:uid="{00000000-0005-0000-0000-0000F3170000}"/>
    <cellStyle name="Normal 5 2 2 4 2 4 3 2" xfId="15316" xr:uid="{95CFFD59-28BC-46BE-9B53-3A980E2B5A4D}"/>
    <cellStyle name="Normal 5 2 2 4 2 4 4" xfId="11099" xr:uid="{CC5D20E8-8B75-42B7-AFAC-3BB827ED7283}"/>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874" xr:uid="{BA32FF4E-990B-407B-837E-8E0749B3312E}"/>
    <cellStyle name="Normal 5 2 2 4 2 5 2 3" xfId="13657" xr:uid="{9D4F738F-F1D7-4B52-8D21-CF82E66991DE}"/>
    <cellStyle name="Normal 5 2 2 4 2 5 3" xfId="6447" xr:uid="{00000000-0005-0000-0000-0000F7170000}"/>
    <cellStyle name="Normal 5 2 2 4 2 5 3 2" xfId="15729" xr:uid="{B0BFD861-2698-45EC-A8EE-E0C0DE53D148}"/>
    <cellStyle name="Normal 5 2 2 4 2 5 4" xfId="11512" xr:uid="{0380C7BA-9176-4841-8517-029E34DCEF34}"/>
    <cellStyle name="Normal 5 2 2 4 2 6" xfId="2577" xr:uid="{00000000-0005-0000-0000-0000F8170000}"/>
    <cellStyle name="Normal 5 2 2 4 2 6 2" xfId="6860" xr:uid="{00000000-0005-0000-0000-0000F9170000}"/>
    <cellStyle name="Normal 5 2 2 4 2 6 2 2" xfId="16142" xr:uid="{1A4DE528-858F-4218-85FA-A6F6F499B073}"/>
    <cellStyle name="Normal 5 2 2 4 2 6 3" xfId="11925" xr:uid="{B1AD5195-44D2-4801-8D23-8F752ABFB4A6}"/>
    <cellStyle name="Normal 5 2 2 4 2 7" xfId="4795" xr:uid="{00000000-0005-0000-0000-0000FA170000}"/>
    <cellStyle name="Normal 5 2 2 4 2 7 2" xfId="14077" xr:uid="{4516CBCF-30FF-4DA0-AE48-4AE0C21689E6}"/>
    <cellStyle name="Normal 5 2 2 4 2 8" xfId="9860" xr:uid="{8B0B7C3C-CC65-4E31-A0D6-1949DD75E578}"/>
    <cellStyle name="Normal 5 2 2 4 2 9" xfId="9026" xr:uid="{6DB66216-D2F6-4890-9DD1-F242BE1D1079}"/>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34" xr:uid="{C785790A-17C8-489D-8334-D76A4AF8D2A7}"/>
    <cellStyle name="Normal 5 2 2 4 3 2 3" xfId="12417" xr:uid="{EA53D9F2-AA40-47FB-BBA7-70574F547D68}"/>
    <cellStyle name="Normal 5 2 2 4 3 3" xfId="5207" xr:uid="{00000000-0005-0000-0000-0000FE170000}"/>
    <cellStyle name="Normal 5 2 2 4 3 3 2" xfId="14489" xr:uid="{B484040C-A259-41D7-8335-9908C6B928DA}"/>
    <cellStyle name="Normal 5 2 2 4 3 4" xfId="10272" xr:uid="{367A934A-4611-4668-84DA-63F13B00A393}"/>
    <cellStyle name="Normal 5 2 2 4 3 5" xfId="9444" xr:uid="{FA795E54-D910-4FD5-B81A-9E183445D268}"/>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47" xr:uid="{95EFD8DA-DAAA-4CD2-AC1C-14748F0DCA74}"/>
    <cellStyle name="Normal 5 2 2 4 4 2 3" xfId="12830" xr:uid="{327016E9-012A-48C7-8BFC-BDF73887ABA9}"/>
    <cellStyle name="Normal 5 2 2 4 4 3" xfId="5620" xr:uid="{00000000-0005-0000-0000-000002180000}"/>
    <cellStyle name="Normal 5 2 2 4 4 3 2" xfId="14902" xr:uid="{0BD82F55-D468-4AC7-972A-5E41114BD58B}"/>
    <cellStyle name="Normal 5 2 2 4 4 4" xfId="10685" xr:uid="{F8E6C0A8-F1E1-4FD8-9876-33549A2DE02F}"/>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460" xr:uid="{78E08023-D378-4699-A077-E5BEFB1255F4}"/>
    <cellStyle name="Normal 5 2 2 4 5 2 3" xfId="13243" xr:uid="{EAA17815-777B-4BE3-8B26-B2162CD5934E}"/>
    <cellStyle name="Normal 5 2 2 4 5 3" xfId="6033" xr:uid="{00000000-0005-0000-0000-000006180000}"/>
    <cellStyle name="Normal 5 2 2 4 5 3 2" xfId="15315" xr:uid="{0F1D9BA1-F9F8-4319-A5B7-4D9B270BEA40}"/>
    <cellStyle name="Normal 5 2 2 4 5 4" xfId="11098" xr:uid="{F80625CD-803A-41A4-B85D-FB697A39300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873" xr:uid="{BE7406A8-515A-473E-BA41-1FFD5BFCBF50}"/>
    <cellStyle name="Normal 5 2 2 4 6 2 3" xfId="13656" xr:uid="{3C610C1E-E085-430B-AC1D-175A3F4615AC}"/>
    <cellStyle name="Normal 5 2 2 4 6 3" xfId="6446" xr:uid="{00000000-0005-0000-0000-00000A180000}"/>
    <cellStyle name="Normal 5 2 2 4 6 3 2" xfId="15728" xr:uid="{AF1795B9-5D76-4C82-B141-A110C521294F}"/>
    <cellStyle name="Normal 5 2 2 4 6 4" xfId="11511" xr:uid="{3403831A-BE7D-438F-88AA-11F27533D834}"/>
    <cellStyle name="Normal 5 2 2 4 7" xfId="2576" xr:uid="{00000000-0005-0000-0000-00000B180000}"/>
    <cellStyle name="Normal 5 2 2 4 7 2" xfId="6859" xr:uid="{00000000-0005-0000-0000-00000C180000}"/>
    <cellStyle name="Normal 5 2 2 4 7 2 2" xfId="16141" xr:uid="{C7997659-C9C1-4DA2-B477-7610336C6B33}"/>
    <cellStyle name="Normal 5 2 2 4 7 3" xfId="11924" xr:uid="{0A08876B-62A4-4C74-99E3-BA481B6EC094}"/>
    <cellStyle name="Normal 5 2 2 4 8" xfId="4794" xr:uid="{00000000-0005-0000-0000-00000D180000}"/>
    <cellStyle name="Normal 5 2 2 4 8 2" xfId="14076" xr:uid="{4987B41F-E194-47C6-BDDD-8C85D371180A}"/>
    <cellStyle name="Normal 5 2 2 4 9" xfId="9859" xr:uid="{09A4E605-3D78-47CB-AE8B-5FD8875E17B4}"/>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36" xr:uid="{E2372F57-EBA6-4EE1-AA68-C02621BE6FC6}"/>
    <cellStyle name="Normal 5 2 2 5 2 2 3" xfId="12419" xr:uid="{BD735151-603A-4D73-A075-79AF59328A4F}"/>
    <cellStyle name="Normal 5 2 2 5 2 3" xfId="5209" xr:uid="{00000000-0005-0000-0000-000012180000}"/>
    <cellStyle name="Normal 5 2 2 5 2 3 2" xfId="14491" xr:uid="{B0BD67C8-9882-4C66-9883-CC3D676DCCE2}"/>
    <cellStyle name="Normal 5 2 2 5 2 4" xfId="10274" xr:uid="{C0DF3403-6EEF-4B50-9A9F-96BECDF505A6}"/>
    <cellStyle name="Normal 5 2 2 5 2 5" xfId="9446" xr:uid="{A39C312A-418C-4452-89EC-EBF09FAEB355}"/>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49" xr:uid="{93123224-5349-4330-BF52-319E2096EB57}"/>
    <cellStyle name="Normal 5 2 2 5 3 2 3" xfId="12832" xr:uid="{6C493777-2F65-4B98-A863-E8A9D7A6954C}"/>
    <cellStyle name="Normal 5 2 2 5 3 3" xfId="5622" xr:uid="{00000000-0005-0000-0000-000016180000}"/>
    <cellStyle name="Normal 5 2 2 5 3 3 2" xfId="14904" xr:uid="{2A604310-AD53-4E5F-ADD6-A4A5AD650950}"/>
    <cellStyle name="Normal 5 2 2 5 3 4" xfId="10687" xr:uid="{25091678-7BA5-4712-B3E7-FDEB119694FB}"/>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462" xr:uid="{801A19A1-1513-4AAB-909C-D831F1DF3E22}"/>
    <cellStyle name="Normal 5 2 2 5 4 2 3" xfId="13245" xr:uid="{61747051-E180-4DF3-A63A-CC25D798FF40}"/>
    <cellStyle name="Normal 5 2 2 5 4 3" xfId="6035" xr:uid="{00000000-0005-0000-0000-00001A180000}"/>
    <cellStyle name="Normal 5 2 2 5 4 3 2" xfId="15317" xr:uid="{C6F4B411-E390-4C8E-A7C3-DD70E6629259}"/>
    <cellStyle name="Normal 5 2 2 5 4 4" xfId="11100" xr:uid="{E767DAD5-E204-4808-A09B-887B9EBEDF4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875" xr:uid="{4B95ED22-A7A0-4A1D-B554-8C523F092FC3}"/>
    <cellStyle name="Normal 5 2 2 5 5 2 3" xfId="13658" xr:uid="{D88BDB5A-61A8-4E02-A3AF-CF8C228AA3A7}"/>
    <cellStyle name="Normal 5 2 2 5 5 3" xfId="6448" xr:uid="{00000000-0005-0000-0000-00001E180000}"/>
    <cellStyle name="Normal 5 2 2 5 5 3 2" xfId="15730" xr:uid="{B4E95EB4-CCD4-4A85-A305-CB264A0F11D1}"/>
    <cellStyle name="Normal 5 2 2 5 5 4" xfId="11513" xr:uid="{0AD1A5BA-84B3-4956-8652-08CFD043685C}"/>
    <cellStyle name="Normal 5 2 2 5 6" xfId="2578" xr:uid="{00000000-0005-0000-0000-00001F180000}"/>
    <cellStyle name="Normal 5 2 2 5 6 2" xfId="6861" xr:uid="{00000000-0005-0000-0000-000020180000}"/>
    <cellStyle name="Normal 5 2 2 5 6 2 2" xfId="16143" xr:uid="{34628A6D-E5A2-498C-A2C7-597809608689}"/>
    <cellStyle name="Normal 5 2 2 5 6 3" xfId="11926" xr:uid="{502E2ED5-8C8E-4D2E-A38A-B14C37C2735A}"/>
    <cellStyle name="Normal 5 2 2 5 7" xfId="4796" xr:uid="{00000000-0005-0000-0000-000021180000}"/>
    <cellStyle name="Normal 5 2 2 5 7 2" xfId="14078" xr:uid="{5B2FAD90-86C5-460A-B0BC-10DB6857C2C2}"/>
    <cellStyle name="Normal 5 2 2 5 8" xfId="9861" xr:uid="{31C38F4F-66E5-4688-9FDD-F7EA9FCA9742}"/>
    <cellStyle name="Normal 5 2 2 5 9" xfId="9027" xr:uid="{DC8C1355-0553-4B23-9673-1DF0850FAF1A}"/>
    <cellStyle name="Normal 5 2 2 6" xfId="882" xr:uid="{00000000-0005-0000-0000-000022180000}"/>
    <cellStyle name="Normal 5 2 2 6 2" xfId="3117" xr:uid="{00000000-0005-0000-0000-000023180000}"/>
    <cellStyle name="Normal 5 2 2 6 2 2" xfId="7339" xr:uid="{00000000-0005-0000-0000-000024180000}"/>
    <cellStyle name="Normal 5 2 2 6 2 2 2" xfId="16621" xr:uid="{BCCE48A8-A183-496E-936F-534757C7C083}"/>
    <cellStyle name="Normal 5 2 2 6 2 3" xfId="12404" xr:uid="{7CF9E4B3-BEBD-499F-8727-17E180D8E32F}"/>
    <cellStyle name="Normal 5 2 2 6 3" xfId="5194" xr:uid="{00000000-0005-0000-0000-000025180000}"/>
    <cellStyle name="Normal 5 2 2 6 3 2" xfId="14476" xr:uid="{C679D971-801C-4822-8632-28BDAAD505F2}"/>
    <cellStyle name="Normal 5 2 2 6 4" xfId="10259" xr:uid="{DFC74B61-2486-4D47-BC4F-A7AC5A2ABD76}"/>
    <cellStyle name="Normal 5 2 2 6 5" xfId="9431" xr:uid="{295794D5-EF8A-49D7-8A4A-25719EDC60A6}"/>
    <cellStyle name="Normal 5 2 2 7" xfId="1300" xr:uid="{00000000-0005-0000-0000-000026180000}"/>
    <cellStyle name="Normal 5 2 2 7 2" xfId="3530" xr:uid="{00000000-0005-0000-0000-000027180000}"/>
    <cellStyle name="Normal 5 2 2 7 2 2" xfId="7752" xr:uid="{00000000-0005-0000-0000-000028180000}"/>
    <cellStyle name="Normal 5 2 2 7 2 2 2" xfId="17034" xr:uid="{B92EDD64-CEEB-4CA5-96A3-246F7DC34882}"/>
    <cellStyle name="Normal 5 2 2 7 2 3" xfId="12817" xr:uid="{1992018A-C21F-4FB0-9919-A16968858CD2}"/>
    <cellStyle name="Normal 5 2 2 7 3" xfId="5607" xr:uid="{00000000-0005-0000-0000-000029180000}"/>
    <cellStyle name="Normal 5 2 2 7 3 2" xfId="14889" xr:uid="{8110DA87-785C-4DB2-9026-1E98D8346036}"/>
    <cellStyle name="Normal 5 2 2 7 4" xfId="10672" xr:uid="{14D7A0FF-2183-4A9E-871C-5A71EE90B02F}"/>
    <cellStyle name="Normal 5 2 2 8" xfId="1713" xr:uid="{00000000-0005-0000-0000-00002A180000}"/>
    <cellStyle name="Normal 5 2 2 8 2" xfId="3943" xr:uid="{00000000-0005-0000-0000-00002B180000}"/>
    <cellStyle name="Normal 5 2 2 8 2 2" xfId="8165" xr:uid="{00000000-0005-0000-0000-00002C180000}"/>
    <cellStyle name="Normal 5 2 2 8 2 2 2" xfId="17447" xr:uid="{C40DB639-6266-4296-8BCC-751BB9A7C873}"/>
    <cellStyle name="Normal 5 2 2 8 2 3" xfId="13230" xr:uid="{897D012D-B61F-4008-8EC0-EAF58CFD3564}"/>
    <cellStyle name="Normal 5 2 2 8 3" xfId="6020" xr:uid="{00000000-0005-0000-0000-00002D180000}"/>
    <cellStyle name="Normal 5 2 2 8 3 2" xfId="15302" xr:uid="{EC63E949-9BB1-40DF-86CF-F51CFDF003C9}"/>
    <cellStyle name="Normal 5 2 2 8 4" xfId="11085" xr:uid="{F3FACD33-DBD4-42E7-AFC2-15D434DAC67D}"/>
    <cellStyle name="Normal 5 2 2 9" xfId="2127" xr:uid="{00000000-0005-0000-0000-00002E180000}"/>
    <cellStyle name="Normal 5 2 2 9 2" xfId="4356" xr:uid="{00000000-0005-0000-0000-00002F180000}"/>
    <cellStyle name="Normal 5 2 2 9 2 2" xfId="8578" xr:uid="{00000000-0005-0000-0000-000030180000}"/>
    <cellStyle name="Normal 5 2 2 9 2 2 2" xfId="17860" xr:uid="{E726EF7B-DF15-4B74-B038-057EA14C866E}"/>
    <cellStyle name="Normal 5 2 2 9 2 3" xfId="13643" xr:uid="{DA2F2932-D445-4CFA-AD2F-4CC144408212}"/>
    <cellStyle name="Normal 5 2 2 9 3" xfId="6433" xr:uid="{00000000-0005-0000-0000-000031180000}"/>
    <cellStyle name="Normal 5 2 2 9 3 2" xfId="15715" xr:uid="{7283ED9E-1C8C-48FC-BA8B-8824150B57A3}"/>
    <cellStyle name="Normal 5 2 2 9 4" xfId="11498" xr:uid="{6CCEE614-0B4D-462F-9E91-CA79A2D867AC}"/>
    <cellStyle name="Normal 5 2 3" xfId="424" xr:uid="{00000000-0005-0000-0000-000032180000}"/>
    <cellStyle name="Normal 5 2 3 10" xfId="4797" xr:uid="{00000000-0005-0000-0000-000033180000}"/>
    <cellStyle name="Normal 5 2 3 10 2" xfId="14079" xr:uid="{19D8D56D-C297-4E54-BB04-870BE9B23C49}"/>
    <cellStyle name="Normal 5 2 3 11" xfId="9862" xr:uid="{817841C9-8B7C-42D8-8A04-FF255E3FD08A}"/>
    <cellStyle name="Normal 5 2 3 12" xfId="9028" xr:uid="{E814E534-70DD-4C87-A6D6-480557B71822}"/>
    <cellStyle name="Normal 5 2 3 2" xfId="425" xr:uid="{00000000-0005-0000-0000-000034180000}"/>
    <cellStyle name="Normal 5 2 3 2 10" xfId="9863" xr:uid="{B1DBBE29-4C39-4FB7-99A1-4EEAF9927728}"/>
    <cellStyle name="Normal 5 2 3 2 11" xfId="9029" xr:uid="{22A24241-C843-43D0-99E6-4F6D9E8E426B}"/>
    <cellStyle name="Normal 5 2 3 2 2" xfId="426" xr:uid="{00000000-0005-0000-0000-000035180000}"/>
    <cellStyle name="Normal 5 2 3 2 2 10" xfId="9030" xr:uid="{D1B506AD-A70A-4807-B4C7-607847B3C30F}"/>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40" xr:uid="{671F1235-9C8C-492F-9330-B4605AEC0C5E}"/>
    <cellStyle name="Normal 5 2 3 2 2 2 2 2 3" xfId="12423" xr:uid="{CCCD89CA-926D-45E2-B987-DE44C2BD3975}"/>
    <cellStyle name="Normal 5 2 3 2 2 2 2 3" xfId="5213" xr:uid="{00000000-0005-0000-0000-00003A180000}"/>
    <cellStyle name="Normal 5 2 3 2 2 2 2 3 2" xfId="14495" xr:uid="{D63B7086-61A4-4188-9E53-B942E8710C11}"/>
    <cellStyle name="Normal 5 2 3 2 2 2 2 4" xfId="10278" xr:uid="{31AF8EDD-3DAB-4E60-9043-BDCE4732B067}"/>
    <cellStyle name="Normal 5 2 3 2 2 2 2 5" xfId="9450" xr:uid="{C1C9D532-F2D9-4A2A-8526-0E3F5A74E059}"/>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53" xr:uid="{05F5CD0D-D553-449A-AA9D-4AA6DF0167C5}"/>
    <cellStyle name="Normal 5 2 3 2 2 2 3 2 3" xfId="12836" xr:uid="{FEF050D5-B994-452F-BC88-6ECC5DCC31A5}"/>
    <cellStyle name="Normal 5 2 3 2 2 2 3 3" xfId="5626" xr:uid="{00000000-0005-0000-0000-00003E180000}"/>
    <cellStyle name="Normal 5 2 3 2 2 2 3 3 2" xfId="14908" xr:uid="{696F3B89-727C-4224-99A4-A67D46AD572E}"/>
    <cellStyle name="Normal 5 2 3 2 2 2 3 4" xfId="10691" xr:uid="{9DEAACBD-F811-4C45-9FAA-658B23475B5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466" xr:uid="{A2FFA23A-CC37-4E57-9150-A6F91CD8B767}"/>
    <cellStyle name="Normal 5 2 3 2 2 2 4 2 3" xfId="13249" xr:uid="{470422CA-46E0-4BC8-8F02-64BD491CB285}"/>
    <cellStyle name="Normal 5 2 3 2 2 2 4 3" xfId="6039" xr:uid="{00000000-0005-0000-0000-000042180000}"/>
    <cellStyle name="Normal 5 2 3 2 2 2 4 3 2" xfId="15321" xr:uid="{CAD527E0-ECED-497B-8136-65773EDA174D}"/>
    <cellStyle name="Normal 5 2 3 2 2 2 4 4" xfId="11104" xr:uid="{B512D2A7-E7AB-4210-8F9D-83721B597EB2}"/>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879" xr:uid="{E4203BCC-9C9B-41BF-BFB8-5633A22CD185}"/>
    <cellStyle name="Normal 5 2 3 2 2 2 5 2 3" xfId="13662" xr:uid="{1633168D-3AC2-4AD8-BEDA-7D536FAD037A}"/>
    <cellStyle name="Normal 5 2 3 2 2 2 5 3" xfId="6452" xr:uid="{00000000-0005-0000-0000-000046180000}"/>
    <cellStyle name="Normal 5 2 3 2 2 2 5 3 2" xfId="15734" xr:uid="{BCC24A46-AEC7-4A8D-AD92-3338C2C69271}"/>
    <cellStyle name="Normal 5 2 3 2 2 2 5 4" xfId="11517" xr:uid="{87B9058B-74FB-4DA4-893D-B55FDED523D5}"/>
    <cellStyle name="Normal 5 2 3 2 2 2 6" xfId="2582" xr:uid="{00000000-0005-0000-0000-000047180000}"/>
    <cellStyle name="Normal 5 2 3 2 2 2 6 2" xfId="6865" xr:uid="{00000000-0005-0000-0000-000048180000}"/>
    <cellStyle name="Normal 5 2 3 2 2 2 6 2 2" xfId="16147" xr:uid="{F4B1E17C-4EBD-45F2-A1A9-ADECC2B7742B}"/>
    <cellStyle name="Normal 5 2 3 2 2 2 6 3" xfId="11930" xr:uid="{1CD724B6-0FF7-438B-AB02-BF560B15162D}"/>
    <cellStyle name="Normal 5 2 3 2 2 2 7" xfId="4800" xr:uid="{00000000-0005-0000-0000-000049180000}"/>
    <cellStyle name="Normal 5 2 3 2 2 2 7 2" xfId="14082" xr:uid="{C8DFFD83-25D5-4D95-9EE4-3474F5BACBFC}"/>
    <cellStyle name="Normal 5 2 3 2 2 2 8" xfId="9865" xr:uid="{D61382E6-3E42-4FE4-AD5C-F6039484A9DE}"/>
    <cellStyle name="Normal 5 2 3 2 2 2 9" xfId="9031" xr:uid="{80DAA198-C5DD-4A72-88DD-7216CCDE77D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39" xr:uid="{791B78F8-27A5-40D5-ABBA-231D39ABB2B5}"/>
    <cellStyle name="Normal 5 2 3 2 2 3 2 3" xfId="12422" xr:uid="{9A514941-7123-47D5-9862-BBAC0FD05077}"/>
    <cellStyle name="Normal 5 2 3 2 2 3 3" xfId="5212" xr:uid="{00000000-0005-0000-0000-00004D180000}"/>
    <cellStyle name="Normal 5 2 3 2 2 3 3 2" xfId="14494" xr:uid="{DE4659B0-6D58-4E6B-A188-CA5146C0097A}"/>
    <cellStyle name="Normal 5 2 3 2 2 3 4" xfId="10277" xr:uid="{C7C83CCD-5FE3-4E36-9F92-9946FA5ABA7E}"/>
    <cellStyle name="Normal 5 2 3 2 2 3 5" xfId="9449" xr:uid="{63643D03-D501-4342-A763-FCFFCFB4D6D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52" xr:uid="{31A35C00-15CE-4F51-A2A2-621E91825226}"/>
    <cellStyle name="Normal 5 2 3 2 2 4 2 3" xfId="12835" xr:uid="{1F141827-B2AF-4004-8F91-B5844F1B1C28}"/>
    <cellStyle name="Normal 5 2 3 2 2 4 3" xfId="5625" xr:uid="{00000000-0005-0000-0000-000051180000}"/>
    <cellStyle name="Normal 5 2 3 2 2 4 3 2" xfId="14907" xr:uid="{E6F0B496-DE8B-465B-8FD2-F6E498BDBFEB}"/>
    <cellStyle name="Normal 5 2 3 2 2 4 4" xfId="10690" xr:uid="{BDF8DE8A-84B7-4F2C-8A5E-F649D5A2038D}"/>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465" xr:uid="{984EDAEF-7EA6-4216-9359-8860D2B26043}"/>
    <cellStyle name="Normal 5 2 3 2 2 5 2 3" xfId="13248" xr:uid="{76981C7D-DD7C-4020-9DFA-C0AD00E4B4CE}"/>
    <cellStyle name="Normal 5 2 3 2 2 5 3" xfId="6038" xr:uid="{00000000-0005-0000-0000-000055180000}"/>
    <cellStyle name="Normal 5 2 3 2 2 5 3 2" xfId="15320" xr:uid="{F5CD8D1B-7C00-4EFE-9567-85450BE20625}"/>
    <cellStyle name="Normal 5 2 3 2 2 5 4" xfId="11103" xr:uid="{0C0D7B09-C58B-4E6B-8882-2EABE79B37D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878" xr:uid="{8456BB77-9869-4E07-B736-FCF820BC2006}"/>
    <cellStyle name="Normal 5 2 3 2 2 6 2 3" xfId="13661" xr:uid="{8DB361FF-64F9-4E50-B1A3-05F7A3442304}"/>
    <cellStyle name="Normal 5 2 3 2 2 6 3" xfId="6451" xr:uid="{00000000-0005-0000-0000-000059180000}"/>
    <cellStyle name="Normal 5 2 3 2 2 6 3 2" xfId="15733" xr:uid="{359A7B95-838E-4841-951C-145EB75B548C}"/>
    <cellStyle name="Normal 5 2 3 2 2 6 4" xfId="11516" xr:uid="{27D8009F-A8E5-4381-A621-46D2491461B7}"/>
    <cellStyle name="Normal 5 2 3 2 2 7" xfId="2581" xr:uid="{00000000-0005-0000-0000-00005A180000}"/>
    <cellStyle name="Normal 5 2 3 2 2 7 2" xfId="6864" xr:uid="{00000000-0005-0000-0000-00005B180000}"/>
    <cellStyle name="Normal 5 2 3 2 2 7 2 2" xfId="16146" xr:uid="{1B4BD6C4-F457-45F6-986D-D23165EB0E86}"/>
    <cellStyle name="Normal 5 2 3 2 2 7 3" xfId="11929" xr:uid="{D3223812-9594-425C-B9EB-31147341AD2C}"/>
    <cellStyle name="Normal 5 2 3 2 2 8" xfId="4799" xr:uid="{00000000-0005-0000-0000-00005C180000}"/>
    <cellStyle name="Normal 5 2 3 2 2 8 2" xfId="14081" xr:uid="{B1CE1936-5901-4282-8060-25ADEB2BDC5B}"/>
    <cellStyle name="Normal 5 2 3 2 2 9" xfId="9864" xr:uid="{EE631A25-1971-4604-98AF-BC5D95D52EE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41" xr:uid="{10225247-819F-44C5-B7A0-FABAF0028AF2}"/>
    <cellStyle name="Normal 5 2 3 2 3 2 2 3" xfId="12424" xr:uid="{DE253244-CD48-4E6A-8DCC-AA8A57DABCB6}"/>
    <cellStyle name="Normal 5 2 3 2 3 2 3" xfId="5214" xr:uid="{00000000-0005-0000-0000-000061180000}"/>
    <cellStyle name="Normal 5 2 3 2 3 2 3 2" xfId="14496" xr:uid="{C1243438-8CE1-4646-AA0C-21BAEF98C233}"/>
    <cellStyle name="Normal 5 2 3 2 3 2 4" xfId="10279" xr:uid="{1C9298DB-DB67-482E-AF9B-7608AA79AAF7}"/>
    <cellStyle name="Normal 5 2 3 2 3 2 5" xfId="9451" xr:uid="{4FB11759-1D72-4813-A35E-1372C220F9E7}"/>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54" xr:uid="{B6C9E6A7-939B-467C-AB8B-F47B925D82B5}"/>
    <cellStyle name="Normal 5 2 3 2 3 3 2 3" xfId="12837" xr:uid="{3F0E0E36-B37B-40EA-AC11-342CB59CDD0D}"/>
    <cellStyle name="Normal 5 2 3 2 3 3 3" xfId="5627" xr:uid="{00000000-0005-0000-0000-000065180000}"/>
    <cellStyle name="Normal 5 2 3 2 3 3 3 2" xfId="14909" xr:uid="{B7CE60F5-A976-45BB-B733-B2AC91F7D471}"/>
    <cellStyle name="Normal 5 2 3 2 3 3 4" xfId="10692" xr:uid="{DDB5A7B2-455F-4FEA-8ED3-7BAEFCA4245B}"/>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467" xr:uid="{5F921F06-3CD4-4EDB-8C54-0A9A5C344AD4}"/>
    <cellStyle name="Normal 5 2 3 2 3 4 2 3" xfId="13250" xr:uid="{B9FF05EA-D9FD-4081-A1AE-FFE848BDF674}"/>
    <cellStyle name="Normal 5 2 3 2 3 4 3" xfId="6040" xr:uid="{00000000-0005-0000-0000-000069180000}"/>
    <cellStyle name="Normal 5 2 3 2 3 4 3 2" xfId="15322" xr:uid="{B7ED9765-6FE2-428C-B919-50053CBEBF75}"/>
    <cellStyle name="Normal 5 2 3 2 3 4 4" xfId="11105" xr:uid="{A75D5BC2-BD1B-4069-8062-BD0B3525E543}"/>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880" xr:uid="{31A4C19F-F723-450D-9705-C9C395704B4B}"/>
    <cellStyle name="Normal 5 2 3 2 3 5 2 3" xfId="13663" xr:uid="{733CD99E-727B-4690-B7D1-37029CC04A2F}"/>
    <cellStyle name="Normal 5 2 3 2 3 5 3" xfId="6453" xr:uid="{00000000-0005-0000-0000-00006D180000}"/>
    <cellStyle name="Normal 5 2 3 2 3 5 3 2" xfId="15735" xr:uid="{B8004BD9-9B3E-486D-BCC1-2E8784D68B1E}"/>
    <cellStyle name="Normal 5 2 3 2 3 5 4" xfId="11518" xr:uid="{80D3CD9E-C2B7-4606-88BE-DF4DC838E222}"/>
    <cellStyle name="Normal 5 2 3 2 3 6" xfId="2583" xr:uid="{00000000-0005-0000-0000-00006E180000}"/>
    <cellStyle name="Normal 5 2 3 2 3 6 2" xfId="6866" xr:uid="{00000000-0005-0000-0000-00006F180000}"/>
    <cellStyle name="Normal 5 2 3 2 3 6 2 2" xfId="16148" xr:uid="{4246AF7E-8647-4CF1-9D3B-96B502F5BCBF}"/>
    <cellStyle name="Normal 5 2 3 2 3 6 3" xfId="11931" xr:uid="{343B51A7-FADA-4C93-AB84-597C6F207CAD}"/>
    <cellStyle name="Normal 5 2 3 2 3 7" xfId="4801" xr:uid="{00000000-0005-0000-0000-000070180000}"/>
    <cellStyle name="Normal 5 2 3 2 3 7 2" xfId="14083" xr:uid="{6BA709ED-BBD1-4E5D-B7FE-63FB6930340C}"/>
    <cellStyle name="Normal 5 2 3 2 3 8" xfId="9866" xr:uid="{A8B71591-C7F8-482B-A235-CA35A8E65BEA}"/>
    <cellStyle name="Normal 5 2 3 2 3 9" xfId="9032" xr:uid="{CD00B21D-2D8F-4B23-BEC4-EADAA00A9E19}"/>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38" xr:uid="{EF163CE8-42D3-40EE-B21B-50850B26CECE}"/>
    <cellStyle name="Normal 5 2 3 2 4 2 3" xfId="12421" xr:uid="{7F22B09F-0F47-4C89-AB5B-8C3F41B73122}"/>
    <cellStyle name="Normal 5 2 3 2 4 3" xfId="5211" xr:uid="{00000000-0005-0000-0000-000074180000}"/>
    <cellStyle name="Normal 5 2 3 2 4 3 2" xfId="14493" xr:uid="{6D060492-9622-4011-8840-FEA9696E7EFB}"/>
    <cellStyle name="Normal 5 2 3 2 4 4" xfId="10276" xr:uid="{7AA66FF4-5082-4385-929E-1BE9A9FD1E00}"/>
    <cellStyle name="Normal 5 2 3 2 4 5" xfId="9448" xr:uid="{4E9AEC16-F261-4151-AFF6-591B8BEDC032}"/>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51" xr:uid="{7B87BE01-244B-46BA-A07E-EA08DBABE6F9}"/>
    <cellStyle name="Normal 5 2 3 2 5 2 3" xfId="12834" xr:uid="{CAAB2B30-7EC1-4172-8B9D-ADB174EAAD14}"/>
    <cellStyle name="Normal 5 2 3 2 5 3" xfId="5624" xr:uid="{00000000-0005-0000-0000-000078180000}"/>
    <cellStyle name="Normal 5 2 3 2 5 3 2" xfId="14906" xr:uid="{CBDD079F-C463-49F9-B44C-224D606086D0}"/>
    <cellStyle name="Normal 5 2 3 2 5 4" xfId="10689" xr:uid="{2171FAC9-F7AE-48A7-98EB-0DD26A401A7D}"/>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464" xr:uid="{32657336-D9BC-4AC1-B500-F0C890CF4869}"/>
    <cellStyle name="Normal 5 2 3 2 6 2 3" xfId="13247" xr:uid="{7AE6680A-5177-4B3D-9420-79CD287CE1AB}"/>
    <cellStyle name="Normal 5 2 3 2 6 3" xfId="6037" xr:uid="{00000000-0005-0000-0000-00007C180000}"/>
    <cellStyle name="Normal 5 2 3 2 6 3 2" xfId="15319" xr:uid="{BE239CE2-EFA2-4382-8AB0-F113A8DD2C97}"/>
    <cellStyle name="Normal 5 2 3 2 6 4" xfId="11102" xr:uid="{B87067D7-FD7F-453D-894A-52E4230FE471}"/>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877" xr:uid="{731B6DD1-5298-49C3-9A8E-954D09D987F8}"/>
    <cellStyle name="Normal 5 2 3 2 7 2 3" xfId="13660" xr:uid="{E2FA0F65-C1E0-47D5-B907-62ECAD9505B2}"/>
    <cellStyle name="Normal 5 2 3 2 7 3" xfId="6450" xr:uid="{00000000-0005-0000-0000-000080180000}"/>
    <cellStyle name="Normal 5 2 3 2 7 3 2" xfId="15732" xr:uid="{B084AA91-0E0E-45CF-B8E3-0BA3B390F86D}"/>
    <cellStyle name="Normal 5 2 3 2 7 4" xfId="11515" xr:uid="{6A6C61CB-A6A2-471E-920D-F50BDDD36331}"/>
    <cellStyle name="Normal 5 2 3 2 8" xfId="2580" xr:uid="{00000000-0005-0000-0000-000081180000}"/>
    <cellStyle name="Normal 5 2 3 2 8 2" xfId="6863" xr:uid="{00000000-0005-0000-0000-000082180000}"/>
    <cellStyle name="Normal 5 2 3 2 8 2 2" xfId="16145" xr:uid="{3EBCD0F9-AE7A-459A-8115-96FE9A1965DB}"/>
    <cellStyle name="Normal 5 2 3 2 8 3" xfId="11928" xr:uid="{33F20686-FD5C-4574-AE89-DD513D61A439}"/>
    <cellStyle name="Normal 5 2 3 2 9" xfId="4798" xr:uid="{00000000-0005-0000-0000-000083180000}"/>
    <cellStyle name="Normal 5 2 3 2 9 2" xfId="14080" xr:uid="{AF3900AD-99AE-4836-8BA3-9AC891CC2C2D}"/>
    <cellStyle name="Normal 5 2 3 3" xfId="429" xr:uid="{00000000-0005-0000-0000-000084180000}"/>
    <cellStyle name="Normal 5 2 3 3 10" xfId="9033" xr:uid="{7799280D-7F34-431C-863F-51CB9AAB0A59}"/>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43" xr:uid="{B2AD8820-5AAB-483D-B371-4B6DF36B7A73}"/>
    <cellStyle name="Normal 5 2 3 3 2 2 2 3" xfId="12426" xr:uid="{20C115E7-CA47-48D1-9191-30538443D6C3}"/>
    <cellStyle name="Normal 5 2 3 3 2 2 3" xfId="5216" xr:uid="{00000000-0005-0000-0000-000089180000}"/>
    <cellStyle name="Normal 5 2 3 3 2 2 3 2" xfId="14498" xr:uid="{BE6CAEBC-1A12-403E-AFE0-7EE3DA347421}"/>
    <cellStyle name="Normal 5 2 3 3 2 2 4" xfId="10281" xr:uid="{C5764803-E2AE-48A1-A8CA-D51D709B4566}"/>
    <cellStyle name="Normal 5 2 3 3 2 2 5" xfId="9453" xr:uid="{69BD1124-3B95-4D2E-9F0A-7FD065C7991C}"/>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056" xr:uid="{471E97E2-709B-40D5-9354-4B4BD25B42D9}"/>
    <cellStyle name="Normal 5 2 3 3 2 3 2 3" xfId="12839" xr:uid="{DD575959-87B2-4172-8F6C-673126633223}"/>
    <cellStyle name="Normal 5 2 3 3 2 3 3" xfId="5629" xr:uid="{00000000-0005-0000-0000-00008D180000}"/>
    <cellStyle name="Normal 5 2 3 3 2 3 3 2" xfId="14911" xr:uid="{62F4C283-7FFD-49AE-8309-9E3839D73A5A}"/>
    <cellStyle name="Normal 5 2 3 3 2 3 4" xfId="10694" xr:uid="{19348E23-E798-45B0-AF1F-87D150AE9761}"/>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469" xr:uid="{B1F8DC64-73A1-4F5B-9102-9F88ADA9D7A6}"/>
    <cellStyle name="Normal 5 2 3 3 2 4 2 3" xfId="13252" xr:uid="{0392B464-9DAF-4672-B885-62BE9B3C55A3}"/>
    <cellStyle name="Normal 5 2 3 3 2 4 3" xfId="6042" xr:uid="{00000000-0005-0000-0000-000091180000}"/>
    <cellStyle name="Normal 5 2 3 3 2 4 3 2" xfId="15324" xr:uid="{29F9A34E-B193-450D-8FEE-C05157623BBD}"/>
    <cellStyle name="Normal 5 2 3 3 2 4 4" xfId="11107" xr:uid="{54745D0E-8693-4605-9FFD-F41BEFCC8541}"/>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882" xr:uid="{11C77DD8-F49A-4006-84ED-259663705C4D}"/>
    <cellStyle name="Normal 5 2 3 3 2 5 2 3" xfId="13665" xr:uid="{525E82C4-7668-489E-BFD5-43DB748F9B6C}"/>
    <cellStyle name="Normal 5 2 3 3 2 5 3" xfId="6455" xr:uid="{00000000-0005-0000-0000-000095180000}"/>
    <cellStyle name="Normal 5 2 3 3 2 5 3 2" xfId="15737" xr:uid="{1764B83F-6E26-45DE-8ABA-3307115601E5}"/>
    <cellStyle name="Normal 5 2 3 3 2 5 4" xfId="11520" xr:uid="{0D566214-842E-4998-B497-957EE0E0F040}"/>
    <cellStyle name="Normal 5 2 3 3 2 6" xfId="2585" xr:uid="{00000000-0005-0000-0000-000096180000}"/>
    <cellStyle name="Normal 5 2 3 3 2 6 2" xfId="6868" xr:uid="{00000000-0005-0000-0000-000097180000}"/>
    <cellStyle name="Normal 5 2 3 3 2 6 2 2" xfId="16150" xr:uid="{67D175A1-8B74-4DE6-9E6F-B3B5FA5615FF}"/>
    <cellStyle name="Normal 5 2 3 3 2 6 3" xfId="11933" xr:uid="{E2053B2E-536E-42AD-9A99-8F76B95D7411}"/>
    <cellStyle name="Normal 5 2 3 3 2 7" xfId="4803" xr:uid="{00000000-0005-0000-0000-000098180000}"/>
    <cellStyle name="Normal 5 2 3 3 2 7 2" xfId="14085" xr:uid="{3EF605BC-78AE-4385-8179-2EC0AF66026F}"/>
    <cellStyle name="Normal 5 2 3 3 2 8" xfId="9868" xr:uid="{7A6DA21D-2730-41AC-9505-D0CF719385E2}"/>
    <cellStyle name="Normal 5 2 3 3 2 9" xfId="9034" xr:uid="{8076DA27-8C48-42A7-8A1A-FF83DEBE11F5}"/>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42" xr:uid="{8F00DFB8-AC70-4889-80C9-40727F502596}"/>
    <cellStyle name="Normal 5 2 3 3 3 2 3" xfId="12425" xr:uid="{98D49F81-2E7B-4AE1-9655-A9C2991043CF}"/>
    <cellStyle name="Normal 5 2 3 3 3 3" xfId="5215" xr:uid="{00000000-0005-0000-0000-00009C180000}"/>
    <cellStyle name="Normal 5 2 3 3 3 3 2" xfId="14497" xr:uid="{AFF9DA13-F60F-4090-8DD9-70EB90543342}"/>
    <cellStyle name="Normal 5 2 3 3 3 4" xfId="10280" xr:uid="{996776FF-08B4-4F81-9CBF-766F5F01E3C3}"/>
    <cellStyle name="Normal 5 2 3 3 3 5" xfId="9452" xr:uid="{92191E26-09E1-4AB4-BE08-BA767145971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55" xr:uid="{BEA279C4-8CE1-44F0-AB4B-C805BC25C64F}"/>
    <cellStyle name="Normal 5 2 3 3 4 2 3" xfId="12838" xr:uid="{71758098-E5A2-43CC-B8BC-7CEBADBF0F38}"/>
    <cellStyle name="Normal 5 2 3 3 4 3" xfId="5628" xr:uid="{00000000-0005-0000-0000-0000A0180000}"/>
    <cellStyle name="Normal 5 2 3 3 4 3 2" xfId="14910" xr:uid="{CD9AA58E-E19A-4318-AA10-AB4810754465}"/>
    <cellStyle name="Normal 5 2 3 3 4 4" xfId="10693" xr:uid="{B8E47A53-40D0-4D85-A40A-34FADD41EBE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468" xr:uid="{E5A294D3-E009-4AF2-937E-4B86EC200BA6}"/>
    <cellStyle name="Normal 5 2 3 3 5 2 3" xfId="13251" xr:uid="{ECA5CBF1-0E5E-4428-AAC6-44FA7FB46A27}"/>
    <cellStyle name="Normal 5 2 3 3 5 3" xfId="6041" xr:uid="{00000000-0005-0000-0000-0000A4180000}"/>
    <cellStyle name="Normal 5 2 3 3 5 3 2" xfId="15323" xr:uid="{A036C454-B947-4B8A-AFAF-A362CD4E0B6B}"/>
    <cellStyle name="Normal 5 2 3 3 5 4" xfId="11106" xr:uid="{83266D1F-6732-4538-A382-8BB9F9D3354D}"/>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881" xr:uid="{354C3252-2440-459A-998C-E29E591F82D0}"/>
    <cellStyle name="Normal 5 2 3 3 6 2 3" xfId="13664" xr:uid="{3424CA17-0C07-463F-9FAF-E680EEBD083F}"/>
    <cellStyle name="Normal 5 2 3 3 6 3" xfId="6454" xr:uid="{00000000-0005-0000-0000-0000A8180000}"/>
    <cellStyle name="Normal 5 2 3 3 6 3 2" xfId="15736" xr:uid="{65F9F517-CF55-4B73-8BD8-9AD1F0552997}"/>
    <cellStyle name="Normal 5 2 3 3 6 4" xfId="11519" xr:uid="{416BA665-7C4D-42B1-A1CF-C672813D0A86}"/>
    <cellStyle name="Normal 5 2 3 3 7" xfId="2584" xr:uid="{00000000-0005-0000-0000-0000A9180000}"/>
    <cellStyle name="Normal 5 2 3 3 7 2" xfId="6867" xr:uid="{00000000-0005-0000-0000-0000AA180000}"/>
    <cellStyle name="Normal 5 2 3 3 7 2 2" xfId="16149" xr:uid="{142C0E55-63C2-4A5D-8A21-94463B08CCF6}"/>
    <cellStyle name="Normal 5 2 3 3 7 3" xfId="11932" xr:uid="{28D1EBA6-50E1-4AEB-BAC1-94A4A9BF70A9}"/>
    <cellStyle name="Normal 5 2 3 3 8" xfId="4802" xr:uid="{00000000-0005-0000-0000-0000AB180000}"/>
    <cellStyle name="Normal 5 2 3 3 8 2" xfId="14084" xr:uid="{28FC4E9C-001B-4816-8E57-205C7E0ECA7B}"/>
    <cellStyle name="Normal 5 2 3 3 9" xfId="9867" xr:uid="{ABCA1602-D685-4D0A-B441-99884A08C9A8}"/>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44" xr:uid="{948A2437-E5FC-4091-A90B-9D4F3665A8D5}"/>
    <cellStyle name="Normal 5 2 3 4 2 2 3" xfId="12427" xr:uid="{2CDFC09F-E724-4CA8-9939-47AD759C2F73}"/>
    <cellStyle name="Normal 5 2 3 4 2 3" xfId="5217" xr:uid="{00000000-0005-0000-0000-0000B0180000}"/>
    <cellStyle name="Normal 5 2 3 4 2 3 2" xfId="14499" xr:uid="{90E67336-E321-4F53-BC62-21F376B50E3C}"/>
    <cellStyle name="Normal 5 2 3 4 2 4" xfId="10282" xr:uid="{E5BE960D-1871-4C27-A5B1-BC08B91BC5AD}"/>
    <cellStyle name="Normal 5 2 3 4 2 5" xfId="9454" xr:uid="{80346D0F-2350-46B6-B554-CDEB4A977265}"/>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057" xr:uid="{1785652F-1D93-4A69-A0BA-B1D836926B35}"/>
    <cellStyle name="Normal 5 2 3 4 3 2 3" xfId="12840" xr:uid="{8BC1B821-51F8-4BC9-A8D3-DAB3F975FB50}"/>
    <cellStyle name="Normal 5 2 3 4 3 3" xfId="5630" xr:uid="{00000000-0005-0000-0000-0000B4180000}"/>
    <cellStyle name="Normal 5 2 3 4 3 3 2" xfId="14912" xr:uid="{580B3036-D38F-4C7F-A06B-C867A89F2890}"/>
    <cellStyle name="Normal 5 2 3 4 3 4" xfId="10695" xr:uid="{B6478788-E95B-4C26-AA40-FEFBA03B6AE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470" xr:uid="{A2766CC7-95BB-442E-BE90-5AFAF54DF130}"/>
    <cellStyle name="Normal 5 2 3 4 4 2 3" xfId="13253" xr:uid="{E6F82920-1FA2-4D75-B886-915327052439}"/>
    <cellStyle name="Normal 5 2 3 4 4 3" xfId="6043" xr:uid="{00000000-0005-0000-0000-0000B8180000}"/>
    <cellStyle name="Normal 5 2 3 4 4 3 2" xfId="15325" xr:uid="{7D89DDA8-953D-4A85-B1F6-F40DC46D81AA}"/>
    <cellStyle name="Normal 5 2 3 4 4 4" xfId="11108" xr:uid="{BEE5F639-C4EC-4DAC-BD07-023B0C04813B}"/>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883" xr:uid="{51E4A0C5-65F0-40AE-AE01-7C17E4A5FD0D}"/>
    <cellStyle name="Normal 5 2 3 4 5 2 3" xfId="13666" xr:uid="{6C970E28-808A-4B91-BA83-B43FBD89D63A}"/>
    <cellStyle name="Normal 5 2 3 4 5 3" xfId="6456" xr:uid="{00000000-0005-0000-0000-0000BC180000}"/>
    <cellStyle name="Normal 5 2 3 4 5 3 2" xfId="15738" xr:uid="{17A7E24B-E73D-479B-82CE-49C5DAC784B8}"/>
    <cellStyle name="Normal 5 2 3 4 5 4" xfId="11521" xr:uid="{ADCB3242-EC40-4A13-B25F-6017CBDC312C}"/>
    <cellStyle name="Normal 5 2 3 4 6" xfId="2586" xr:uid="{00000000-0005-0000-0000-0000BD180000}"/>
    <cellStyle name="Normal 5 2 3 4 6 2" xfId="6869" xr:uid="{00000000-0005-0000-0000-0000BE180000}"/>
    <cellStyle name="Normal 5 2 3 4 6 2 2" xfId="16151" xr:uid="{05D59E70-36CE-4495-9B33-CFF1CB6EEA89}"/>
    <cellStyle name="Normal 5 2 3 4 6 3" xfId="11934" xr:uid="{48AC3A0E-5892-4126-A380-4BE8BE2EFBB1}"/>
    <cellStyle name="Normal 5 2 3 4 7" xfId="4804" xr:uid="{00000000-0005-0000-0000-0000BF180000}"/>
    <cellStyle name="Normal 5 2 3 4 7 2" xfId="14086" xr:uid="{4FAE89EB-5945-437E-814C-B310EDEAB594}"/>
    <cellStyle name="Normal 5 2 3 4 8" xfId="9869" xr:uid="{F20A491F-3EBA-42CD-A9CB-271AB3B42B59}"/>
    <cellStyle name="Normal 5 2 3 4 9" xfId="9035" xr:uid="{1EE71F53-FBB5-4939-A10D-D963C166E113}"/>
    <cellStyle name="Normal 5 2 3 5" xfId="898" xr:uid="{00000000-0005-0000-0000-0000C0180000}"/>
    <cellStyle name="Normal 5 2 3 5 2" xfId="3133" xr:uid="{00000000-0005-0000-0000-0000C1180000}"/>
    <cellStyle name="Normal 5 2 3 5 2 2" xfId="7355" xr:uid="{00000000-0005-0000-0000-0000C2180000}"/>
    <cellStyle name="Normal 5 2 3 5 2 2 2" xfId="16637" xr:uid="{E51A9904-794C-42B8-8AD2-EAE0D245B88C}"/>
    <cellStyle name="Normal 5 2 3 5 2 3" xfId="12420" xr:uid="{DABA6AC2-1A60-4C33-8EA8-AA487A26BF83}"/>
    <cellStyle name="Normal 5 2 3 5 3" xfId="5210" xr:uid="{00000000-0005-0000-0000-0000C3180000}"/>
    <cellStyle name="Normal 5 2 3 5 3 2" xfId="14492" xr:uid="{5AD27E61-9DF2-4372-8829-0308190C8284}"/>
    <cellStyle name="Normal 5 2 3 5 4" xfId="10275" xr:uid="{21F3F9A4-E48B-4E93-A1B9-D1EFF99DED9E}"/>
    <cellStyle name="Normal 5 2 3 5 5" xfId="9447" xr:uid="{73607C16-1B7A-4A08-8416-50062A58A2E6}"/>
    <cellStyle name="Normal 5 2 3 6" xfId="1316" xr:uid="{00000000-0005-0000-0000-0000C4180000}"/>
    <cellStyle name="Normal 5 2 3 6 2" xfId="3546" xr:uid="{00000000-0005-0000-0000-0000C5180000}"/>
    <cellStyle name="Normal 5 2 3 6 2 2" xfId="7768" xr:uid="{00000000-0005-0000-0000-0000C6180000}"/>
    <cellStyle name="Normal 5 2 3 6 2 2 2" xfId="17050" xr:uid="{A46F8445-EF86-48E6-8759-CFBDA42356D1}"/>
    <cellStyle name="Normal 5 2 3 6 2 3" xfId="12833" xr:uid="{FF3CA89D-6F7D-40E4-9E5F-4D1AE2BA8612}"/>
    <cellStyle name="Normal 5 2 3 6 3" xfId="5623" xr:uid="{00000000-0005-0000-0000-0000C7180000}"/>
    <cellStyle name="Normal 5 2 3 6 3 2" xfId="14905" xr:uid="{9A2D4B36-5ADF-4945-88E9-59E4BAFBBA52}"/>
    <cellStyle name="Normal 5 2 3 6 4" xfId="10688" xr:uid="{2D3E2299-2C00-4FAB-881E-4E46BAB14CAF}"/>
    <cellStyle name="Normal 5 2 3 7" xfId="1729" xr:uid="{00000000-0005-0000-0000-0000C8180000}"/>
    <cellStyle name="Normal 5 2 3 7 2" xfId="3959" xr:uid="{00000000-0005-0000-0000-0000C9180000}"/>
    <cellStyle name="Normal 5 2 3 7 2 2" xfId="8181" xr:uid="{00000000-0005-0000-0000-0000CA180000}"/>
    <cellStyle name="Normal 5 2 3 7 2 2 2" xfId="17463" xr:uid="{1C39384E-B3F2-4BD3-99F7-F82C544F7851}"/>
    <cellStyle name="Normal 5 2 3 7 2 3" xfId="13246" xr:uid="{10C27F01-E425-4AC8-B35A-7A5A5351AD69}"/>
    <cellStyle name="Normal 5 2 3 7 3" xfId="6036" xr:uid="{00000000-0005-0000-0000-0000CB180000}"/>
    <cellStyle name="Normal 5 2 3 7 3 2" xfId="15318" xr:uid="{72A4FD51-9D02-4220-9A6E-0E4018646C2B}"/>
    <cellStyle name="Normal 5 2 3 7 4" xfId="11101" xr:uid="{F5673687-A3AB-4388-AC59-D420009E60A5}"/>
    <cellStyle name="Normal 5 2 3 8" xfId="2143" xr:uid="{00000000-0005-0000-0000-0000CC180000}"/>
    <cellStyle name="Normal 5 2 3 8 2" xfId="4372" xr:uid="{00000000-0005-0000-0000-0000CD180000}"/>
    <cellStyle name="Normal 5 2 3 8 2 2" xfId="8594" xr:uid="{00000000-0005-0000-0000-0000CE180000}"/>
    <cellStyle name="Normal 5 2 3 8 2 2 2" xfId="17876" xr:uid="{284E002F-A182-47E5-B4DD-B04252C0010D}"/>
    <cellStyle name="Normal 5 2 3 8 2 3" xfId="13659" xr:uid="{4C29AFBE-D165-4F39-89F4-01BFBEB11FB6}"/>
    <cellStyle name="Normal 5 2 3 8 3" xfId="6449" xr:uid="{00000000-0005-0000-0000-0000CF180000}"/>
    <cellStyle name="Normal 5 2 3 8 3 2" xfId="15731" xr:uid="{D63E4389-B37C-486D-AB22-35EA822F9718}"/>
    <cellStyle name="Normal 5 2 3 8 4" xfId="11514" xr:uid="{7419AADC-DB8D-4A52-80BF-A68A9CDFD112}"/>
    <cellStyle name="Normal 5 2 3 9" xfId="2579" xr:uid="{00000000-0005-0000-0000-0000D0180000}"/>
    <cellStyle name="Normal 5 2 3 9 2" xfId="6862" xr:uid="{00000000-0005-0000-0000-0000D1180000}"/>
    <cellStyle name="Normal 5 2 3 9 2 2" xfId="16144" xr:uid="{218BCF98-4923-4F40-86FA-35B94531D7EC}"/>
    <cellStyle name="Normal 5 2 3 9 3" xfId="11927" xr:uid="{0C7AF029-78CE-47EB-BBF9-0833EC067501}"/>
    <cellStyle name="Normal 5 2 4" xfId="432" xr:uid="{00000000-0005-0000-0000-0000D2180000}"/>
    <cellStyle name="Normal 5 2 4 10" xfId="9870" xr:uid="{7E3F5066-DAB3-4E5F-BFEF-E7AFC2BCA4D0}"/>
    <cellStyle name="Normal 5 2 4 11" xfId="9036" xr:uid="{5EE18472-FEDD-40F8-BCEF-61840CD74415}"/>
    <cellStyle name="Normal 5 2 4 2" xfId="433" xr:uid="{00000000-0005-0000-0000-0000D3180000}"/>
    <cellStyle name="Normal 5 2 4 2 10" xfId="9037" xr:uid="{DEE0FF3F-F692-4264-B30C-9B888BF5F06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47" xr:uid="{D4C01E5C-9E32-461A-81F8-CEDF9E641F85}"/>
    <cellStyle name="Normal 5 2 4 2 2 2 2 3" xfId="12430" xr:uid="{CA593F84-BCA4-442C-BB78-064F315C0BFD}"/>
    <cellStyle name="Normal 5 2 4 2 2 2 3" xfId="5220" xr:uid="{00000000-0005-0000-0000-0000D8180000}"/>
    <cellStyle name="Normal 5 2 4 2 2 2 3 2" xfId="14502" xr:uid="{60813677-C38F-4162-AF7E-C2EF5C08CD37}"/>
    <cellStyle name="Normal 5 2 4 2 2 2 4" xfId="10285" xr:uid="{B191968E-D667-4D08-B450-623365CBAA91}"/>
    <cellStyle name="Normal 5 2 4 2 2 2 5" xfId="9457" xr:uid="{1A60C373-A52B-4812-AE8F-08A948BAE7F1}"/>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060" xr:uid="{74412E76-254F-497B-92BA-AC27B0AF72EB}"/>
    <cellStyle name="Normal 5 2 4 2 2 3 2 3" xfId="12843" xr:uid="{18C9CCEF-C075-4EDD-82E7-3D3C759AAE33}"/>
    <cellStyle name="Normal 5 2 4 2 2 3 3" xfId="5633" xr:uid="{00000000-0005-0000-0000-0000DC180000}"/>
    <cellStyle name="Normal 5 2 4 2 2 3 3 2" xfId="14915" xr:uid="{81902016-6BC1-4EC5-8056-26DD58F2FD50}"/>
    <cellStyle name="Normal 5 2 4 2 2 3 4" xfId="10698" xr:uid="{FA316F70-77CE-46B6-828C-E9F032C53BCF}"/>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473" xr:uid="{9C8A84E3-786A-4880-B9A5-C41D9122D3C1}"/>
    <cellStyle name="Normal 5 2 4 2 2 4 2 3" xfId="13256" xr:uid="{ED0D1213-9543-4CE2-B78E-3DF3D9960EA8}"/>
    <cellStyle name="Normal 5 2 4 2 2 4 3" xfId="6046" xr:uid="{00000000-0005-0000-0000-0000E0180000}"/>
    <cellStyle name="Normal 5 2 4 2 2 4 3 2" xfId="15328" xr:uid="{4D2A7953-5C6E-430A-A427-A2F42BBBD4D1}"/>
    <cellStyle name="Normal 5 2 4 2 2 4 4" xfId="11111" xr:uid="{AB5A3EF6-F5AB-460B-A4C9-9C43F1D579B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886" xr:uid="{81994F4F-18AE-4662-9A5A-5B9456EE357E}"/>
    <cellStyle name="Normal 5 2 4 2 2 5 2 3" xfId="13669" xr:uid="{5C43611F-8A56-4F71-97B7-6D2ABB156370}"/>
    <cellStyle name="Normal 5 2 4 2 2 5 3" xfId="6459" xr:uid="{00000000-0005-0000-0000-0000E4180000}"/>
    <cellStyle name="Normal 5 2 4 2 2 5 3 2" xfId="15741" xr:uid="{442A279E-4997-4784-91C3-52E8C5C1E555}"/>
    <cellStyle name="Normal 5 2 4 2 2 5 4" xfId="11524" xr:uid="{2D28408C-8078-423E-A018-2B5C16A23F64}"/>
    <cellStyle name="Normal 5 2 4 2 2 6" xfId="2589" xr:uid="{00000000-0005-0000-0000-0000E5180000}"/>
    <cellStyle name="Normal 5 2 4 2 2 6 2" xfId="6872" xr:uid="{00000000-0005-0000-0000-0000E6180000}"/>
    <cellStyle name="Normal 5 2 4 2 2 6 2 2" xfId="16154" xr:uid="{8E0C3C89-F88B-487F-94E0-DA4531C6C768}"/>
    <cellStyle name="Normal 5 2 4 2 2 6 3" xfId="11937" xr:uid="{D00F0E25-2EE9-4679-8B09-22360E40F43B}"/>
    <cellStyle name="Normal 5 2 4 2 2 7" xfId="4807" xr:uid="{00000000-0005-0000-0000-0000E7180000}"/>
    <cellStyle name="Normal 5 2 4 2 2 7 2" xfId="14089" xr:uid="{227D8B8B-4512-4360-8E05-DFA5D5C61C2E}"/>
    <cellStyle name="Normal 5 2 4 2 2 8" xfId="9872" xr:uid="{D33667BC-B23C-42F0-BA94-29719086A798}"/>
    <cellStyle name="Normal 5 2 4 2 2 9" xfId="9038" xr:uid="{F7F972BD-646B-4D9F-9354-BDA50715A37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46" xr:uid="{D3891F13-7422-40AF-A9C6-EBDF60657621}"/>
    <cellStyle name="Normal 5 2 4 2 3 2 3" xfId="12429" xr:uid="{5C18792E-3896-4727-B844-BCC292150274}"/>
    <cellStyle name="Normal 5 2 4 2 3 3" xfId="5219" xr:uid="{00000000-0005-0000-0000-0000EB180000}"/>
    <cellStyle name="Normal 5 2 4 2 3 3 2" xfId="14501" xr:uid="{E7232760-ABF0-456D-8596-E5AE7369CBD8}"/>
    <cellStyle name="Normal 5 2 4 2 3 4" xfId="10284" xr:uid="{057B1C5E-CC37-463F-94DE-9BBA60D18B28}"/>
    <cellStyle name="Normal 5 2 4 2 3 5" xfId="9456" xr:uid="{A73CE107-DDB2-44E4-B871-9CF024D353F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059" xr:uid="{A40349BD-087C-4C3E-9F96-6DF4609BF1EF}"/>
    <cellStyle name="Normal 5 2 4 2 4 2 3" xfId="12842" xr:uid="{19409EF0-76FA-4FFC-8765-08F8A3B5786A}"/>
    <cellStyle name="Normal 5 2 4 2 4 3" xfId="5632" xr:uid="{00000000-0005-0000-0000-0000EF180000}"/>
    <cellStyle name="Normal 5 2 4 2 4 3 2" xfId="14914" xr:uid="{B04165E8-279B-439A-A268-6DB228C45432}"/>
    <cellStyle name="Normal 5 2 4 2 4 4" xfId="10697" xr:uid="{F61A7894-2974-479D-81F1-A2256BE7C28A}"/>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472" xr:uid="{31964F69-B93D-4B40-A93C-472A5923BEBC}"/>
    <cellStyle name="Normal 5 2 4 2 5 2 3" xfId="13255" xr:uid="{59783F32-FE8E-4048-BCF5-C21E38C99B58}"/>
    <cellStyle name="Normal 5 2 4 2 5 3" xfId="6045" xr:uid="{00000000-0005-0000-0000-0000F3180000}"/>
    <cellStyle name="Normal 5 2 4 2 5 3 2" xfId="15327" xr:uid="{71046640-5265-450A-ADCE-21AB46CAF932}"/>
    <cellStyle name="Normal 5 2 4 2 5 4" xfId="11110" xr:uid="{D38D942C-334D-412E-B185-B1777254C3AB}"/>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885" xr:uid="{E590DB31-F344-44D2-9635-B9946624ADA1}"/>
    <cellStyle name="Normal 5 2 4 2 6 2 3" xfId="13668" xr:uid="{B58650CE-71C6-4053-80D9-310957032EFF}"/>
    <cellStyle name="Normal 5 2 4 2 6 3" xfId="6458" xr:uid="{00000000-0005-0000-0000-0000F7180000}"/>
    <cellStyle name="Normal 5 2 4 2 6 3 2" xfId="15740" xr:uid="{67D264FB-56C5-40F1-8A15-F936271D4392}"/>
    <cellStyle name="Normal 5 2 4 2 6 4" xfId="11523" xr:uid="{E0BDF586-BF38-4E1F-9ADD-547ED1FDC490}"/>
    <cellStyle name="Normal 5 2 4 2 7" xfId="2588" xr:uid="{00000000-0005-0000-0000-0000F8180000}"/>
    <cellStyle name="Normal 5 2 4 2 7 2" xfId="6871" xr:uid="{00000000-0005-0000-0000-0000F9180000}"/>
    <cellStyle name="Normal 5 2 4 2 7 2 2" xfId="16153" xr:uid="{C29ED6F9-2772-4A1B-9BD6-3B6655D989F6}"/>
    <cellStyle name="Normal 5 2 4 2 7 3" xfId="11936" xr:uid="{7C4E0286-59AA-48CF-9A93-5790DA9F81BD}"/>
    <cellStyle name="Normal 5 2 4 2 8" xfId="4806" xr:uid="{00000000-0005-0000-0000-0000FA180000}"/>
    <cellStyle name="Normal 5 2 4 2 8 2" xfId="14088" xr:uid="{9CD48858-96CA-4E43-B105-1E86431F04FE}"/>
    <cellStyle name="Normal 5 2 4 2 9" xfId="9871" xr:uid="{6EBCBF1C-2E1C-4FFB-99BC-0BD493492FB9}"/>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48" xr:uid="{C11A4023-9D7E-4ECD-A686-BB3E9BF30796}"/>
    <cellStyle name="Normal 5 2 4 3 2 2 3" xfId="12431" xr:uid="{86166F27-397E-4E9F-9582-F34A9A7421F4}"/>
    <cellStyle name="Normal 5 2 4 3 2 3" xfId="5221" xr:uid="{00000000-0005-0000-0000-0000FF180000}"/>
    <cellStyle name="Normal 5 2 4 3 2 3 2" xfId="14503" xr:uid="{54FB0FB9-F43B-40BA-9528-DF36989E8BE0}"/>
    <cellStyle name="Normal 5 2 4 3 2 4" xfId="10286" xr:uid="{785F6B41-4AB9-4DC8-9310-1C3E0E5D3E4D}"/>
    <cellStyle name="Normal 5 2 4 3 2 5" xfId="9458" xr:uid="{D2B20FE1-8AC6-45FD-81AF-6C450E53E81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061" xr:uid="{059B66BD-14A0-4B6C-A8FC-18E4F4B7F7E7}"/>
    <cellStyle name="Normal 5 2 4 3 3 2 3" xfId="12844" xr:uid="{B8F36389-67C6-4B2C-A213-F539D8CE8109}"/>
    <cellStyle name="Normal 5 2 4 3 3 3" xfId="5634" xr:uid="{00000000-0005-0000-0000-000003190000}"/>
    <cellStyle name="Normal 5 2 4 3 3 3 2" xfId="14916" xr:uid="{9E41C7DD-3631-4746-A181-CAD9E6759213}"/>
    <cellStyle name="Normal 5 2 4 3 3 4" xfId="10699" xr:uid="{DE8E3435-3E40-4F1A-89E2-809F4C6E486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474" xr:uid="{14B23C32-E783-4171-83E4-D4227CD92BE3}"/>
    <cellStyle name="Normal 5 2 4 3 4 2 3" xfId="13257" xr:uid="{DBEB1F4C-F346-49BA-AFB9-D79A3F077952}"/>
    <cellStyle name="Normal 5 2 4 3 4 3" xfId="6047" xr:uid="{00000000-0005-0000-0000-000007190000}"/>
    <cellStyle name="Normal 5 2 4 3 4 3 2" xfId="15329" xr:uid="{F403AFD6-679D-44F3-8C59-947F3F818DC9}"/>
    <cellStyle name="Normal 5 2 4 3 4 4" xfId="11112" xr:uid="{FA9D26B1-F3E9-4536-8160-620199B202F8}"/>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887" xr:uid="{53FCB6C8-EFFC-4C97-A22C-A0AA5B374614}"/>
    <cellStyle name="Normal 5 2 4 3 5 2 3" xfId="13670" xr:uid="{00FF7C1A-4641-40D7-A131-37DC5B1DB13C}"/>
    <cellStyle name="Normal 5 2 4 3 5 3" xfId="6460" xr:uid="{00000000-0005-0000-0000-00000B190000}"/>
    <cellStyle name="Normal 5 2 4 3 5 3 2" xfId="15742" xr:uid="{C99782F9-4FD2-493B-B385-DC657FC46C18}"/>
    <cellStyle name="Normal 5 2 4 3 5 4" xfId="11525" xr:uid="{7C42A8C9-BFAF-4BBC-8B17-C8004882BD18}"/>
    <cellStyle name="Normal 5 2 4 3 6" xfId="2590" xr:uid="{00000000-0005-0000-0000-00000C190000}"/>
    <cellStyle name="Normal 5 2 4 3 6 2" xfId="6873" xr:uid="{00000000-0005-0000-0000-00000D190000}"/>
    <cellStyle name="Normal 5 2 4 3 6 2 2" xfId="16155" xr:uid="{26C1A202-6AF7-4F00-A47B-3F5BC6FCCB05}"/>
    <cellStyle name="Normal 5 2 4 3 6 3" xfId="11938" xr:uid="{BD308420-1E2F-4E64-BCD9-9AC4BF4CF4E9}"/>
    <cellStyle name="Normal 5 2 4 3 7" xfId="4808" xr:uid="{00000000-0005-0000-0000-00000E190000}"/>
    <cellStyle name="Normal 5 2 4 3 7 2" xfId="14090" xr:uid="{E5C99983-53C4-4656-803C-17EEE0CF8BAE}"/>
    <cellStyle name="Normal 5 2 4 3 8" xfId="9873" xr:uid="{D75FB14C-B44A-4874-9748-D71C658866C1}"/>
    <cellStyle name="Normal 5 2 4 3 9" xfId="9039" xr:uid="{8B6B6345-7B77-49AA-862B-D625635B129B}"/>
    <cellStyle name="Normal 5 2 4 4" xfId="906" xr:uid="{00000000-0005-0000-0000-00000F190000}"/>
    <cellStyle name="Normal 5 2 4 4 2" xfId="3141" xr:uid="{00000000-0005-0000-0000-000010190000}"/>
    <cellStyle name="Normal 5 2 4 4 2 2" xfId="7363" xr:uid="{00000000-0005-0000-0000-000011190000}"/>
    <cellStyle name="Normal 5 2 4 4 2 2 2" xfId="16645" xr:uid="{7073CB24-55A7-41D8-8D8F-A3B6A4E19469}"/>
    <cellStyle name="Normal 5 2 4 4 2 3" xfId="12428" xr:uid="{8EECED43-2D9D-4E4C-8E6B-68B74EF7F166}"/>
    <cellStyle name="Normal 5 2 4 4 3" xfId="5218" xr:uid="{00000000-0005-0000-0000-000012190000}"/>
    <cellStyle name="Normal 5 2 4 4 3 2" xfId="14500" xr:uid="{611CA2B3-1016-4E6E-8B49-004E683551D9}"/>
    <cellStyle name="Normal 5 2 4 4 4" xfId="10283" xr:uid="{F757AFB0-31E6-4934-8A3C-1C6D27EC379D}"/>
    <cellStyle name="Normal 5 2 4 4 5" xfId="9455" xr:uid="{5D9B2777-60B3-4E3F-831D-2720F3236AAC}"/>
    <cellStyle name="Normal 5 2 4 5" xfId="1324" xr:uid="{00000000-0005-0000-0000-000013190000}"/>
    <cellStyle name="Normal 5 2 4 5 2" xfId="3554" xr:uid="{00000000-0005-0000-0000-000014190000}"/>
    <cellStyle name="Normal 5 2 4 5 2 2" xfId="7776" xr:uid="{00000000-0005-0000-0000-000015190000}"/>
    <cellStyle name="Normal 5 2 4 5 2 2 2" xfId="17058" xr:uid="{6E4E2DA0-A63C-42C3-824E-AB692D379F4B}"/>
    <cellStyle name="Normal 5 2 4 5 2 3" xfId="12841" xr:uid="{E07166A3-9D69-4B87-9C7F-B4C127A1C36C}"/>
    <cellStyle name="Normal 5 2 4 5 3" xfId="5631" xr:uid="{00000000-0005-0000-0000-000016190000}"/>
    <cellStyle name="Normal 5 2 4 5 3 2" xfId="14913" xr:uid="{7B6960F4-B0A7-4B16-A771-92FF9A99C7A1}"/>
    <cellStyle name="Normal 5 2 4 5 4" xfId="10696" xr:uid="{69E3DB06-58A1-4B40-BB32-F06B8B9E0DB5}"/>
    <cellStyle name="Normal 5 2 4 6" xfId="1737" xr:uid="{00000000-0005-0000-0000-000017190000}"/>
    <cellStyle name="Normal 5 2 4 6 2" xfId="3967" xr:uid="{00000000-0005-0000-0000-000018190000}"/>
    <cellStyle name="Normal 5 2 4 6 2 2" xfId="8189" xr:uid="{00000000-0005-0000-0000-000019190000}"/>
    <cellStyle name="Normal 5 2 4 6 2 2 2" xfId="17471" xr:uid="{12A6F5F0-98C0-4DF3-A8FE-4B21F570E0D4}"/>
    <cellStyle name="Normal 5 2 4 6 2 3" xfId="13254" xr:uid="{7BDB9EFA-4622-4086-A69D-5DAA7B021EFE}"/>
    <cellStyle name="Normal 5 2 4 6 3" xfId="6044" xr:uid="{00000000-0005-0000-0000-00001A190000}"/>
    <cellStyle name="Normal 5 2 4 6 3 2" xfId="15326" xr:uid="{F8B82B5E-6EA9-466E-8FCE-450CD13C84BF}"/>
    <cellStyle name="Normal 5 2 4 6 4" xfId="11109" xr:uid="{618681EF-D7F3-48D9-8BC0-C343C4923498}"/>
    <cellStyle name="Normal 5 2 4 7" xfId="2151" xr:uid="{00000000-0005-0000-0000-00001B190000}"/>
    <cellStyle name="Normal 5 2 4 7 2" xfId="4380" xr:uid="{00000000-0005-0000-0000-00001C190000}"/>
    <cellStyle name="Normal 5 2 4 7 2 2" xfId="8602" xr:uid="{00000000-0005-0000-0000-00001D190000}"/>
    <cellStyle name="Normal 5 2 4 7 2 2 2" xfId="17884" xr:uid="{96331858-14FC-4843-8FB4-D67E1D3937E6}"/>
    <cellStyle name="Normal 5 2 4 7 2 3" xfId="13667" xr:uid="{15ECDE2A-F28A-4CFD-9BA9-74EA86AEEE96}"/>
    <cellStyle name="Normal 5 2 4 7 3" xfId="6457" xr:uid="{00000000-0005-0000-0000-00001E190000}"/>
    <cellStyle name="Normal 5 2 4 7 3 2" xfId="15739" xr:uid="{14F552BB-E23D-4E1D-B0BD-F22C19CA6D1B}"/>
    <cellStyle name="Normal 5 2 4 7 4" xfId="11522" xr:uid="{B1C203EB-679E-4BDB-A8F0-64C2543D2A60}"/>
    <cellStyle name="Normal 5 2 4 8" xfId="2587" xr:uid="{00000000-0005-0000-0000-00001F190000}"/>
    <cellStyle name="Normal 5 2 4 8 2" xfId="6870" xr:uid="{00000000-0005-0000-0000-000020190000}"/>
    <cellStyle name="Normal 5 2 4 8 2 2" xfId="16152" xr:uid="{AA645A9B-9BB3-4815-9CF5-CCB87B0929B4}"/>
    <cellStyle name="Normal 5 2 4 8 3" xfId="11935" xr:uid="{F57295B6-DCF3-460E-AD5E-B9AB58D852BD}"/>
    <cellStyle name="Normal 5 2 4 9" xfId="4805" xr:uid="{00000000-0005-0000-0000-000021190000}"/>
    <cellStyle name="Normal 5 2 4 9 2" xfId="14087" xr:uid="{26661B1B-18C3-48BF-A91B-C4F84DA851A1}"/>
    <cellStyle name="Normal 5 2 5" xfId="436" xr:uid="{00000000-0005-0000-0000-000022190000}"/>
    <cellStyle name="Normal 5 2 5 10" xfId="9040" xr:uid="{67F66E52-DB04-486F-94ED-9779BEC54317}"/>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50" xr:uid="{9BCB3D00-3D19-43E1-AC1C-7C1DF3DA4F94}"/>
    <cellStyle name="Normal 5 2 5 2 2 2 3" xfId="12433" xr:uid="{82A6A778-738D-44E8-B63E-F4853A47296A}"/>
    <cellStyle name="Normal 5 2 5 2 2 3" xfId="5223" xr:uid="{00000000-0005-0000-0000-000027190000}"/>
    <cellStyle name="Normal 5 2 5 2 2 3 2" xfId="14505" xr:uid="{CF644270-FDA5-4442-AD31-877389BA67DF}"/>
    <cellStyle name="Normal 5 2 5 2 2 4" xfId="10288" xr:uid="{A3D187D1-2611-499A-AD06-9556BF36433C}"/>
    <cellStyle name="Normal 5 2 5 2 2 5" xfId="9460" xr:uid="{15F7204E-7269-4FD8-B252-E4AEC6A3463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063" xr:uid="{48FE8E40-C985-4BCC-BD1E-DEABBE4EAEC4}"/>
    <cellStyle name="Normal 5 2 5 2 3 2 3" xfId="12846" xr:uid="{400CF532-8265-4FA9-B508-E1FC8164FCB1}"/>
    <cellStyle name="Normal 5 2 5 2 3 3" xfId="5636" xr:uid="{00000000-0005-0000-0000-00002B190000}"/>
    <cellStyle name="Normal 5 2 5 2 3 3 2" xfId="14918" xr:uid="{B7D7E9DE-2CB2-47F8-9B14-F2C540965F97}"/>
    <cellStyle name="Normal 5 2 5 2 3 4" xfId="10701" xr:uid="{A5558027-526C-43EF-BA4B-C6123DCA819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476" xr:uid="{40226B88-379F-4B71-AE92-3FAB9F90811B}"/>
    <cellStyle name="Normal 5 2 5 2 4 2 3" xfId="13259" xr:uid="{29F67E69-A05F-4198-9F0C-987327A26176}"/>
    <cellStyle name="Normal 5 2 5 2 4 3" xfId="6049" xr:uid="{00000000-0005-0000-0000-00002F190000}"/>
    <cellStyle name="Normal 5 2 5 2 4 3 2" xfId="15331" xr:uid="{C013AFB9-E82D-4BFB-B9B9-2B3332D3C486}"/>
    <cellStyle name="Normal 5 2 5 2 4 4" xfId="11114" xr:uid="{1DF950C4-44C4-4513-B087-FC5FB7C4D58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889" xr:uid="{373C708D-A399-4B94-9C3B-817100EBEA2F}"/>
    <cellStyle name="Normal 5 2 5 2 5 2 3" xfId="13672" xr:uid="{0892D4B9-1DBD-43D3-8153-86D182FA69D3}"/>
    <cellStyle name="Normal 5 2 5 2 5 3" xfId="6462" xr:uid="{00000000-0005-0000-0000-000033190000}"/>
    <cellStyle name="Normal 5 2 5 2 5 3 2" xfId="15744" xr:uid="{15ECA7DF-D832-400A-AF27-05AB1D2218F0}"/>
    <cellStyle name="Normal 5 2 5 2 5 4" xfId="11527" xr:uid="{715241E7-AA42-4B59-A458-16804C1E0187}"/>
    <cellStyle name="Normal 5 2 5 2 6" xfId="2592" xr:uid="{00000000-0005-0000-0000-000034190000}"/>
    <cellStyle name="Normal 5 2 5 2 6 2" xfId="6875" xr:uid="{00000000-0005-0000-0000-000035190000}"/>
    <cellStyle name="Normal 5 2 5 2 6 2 2" xfId="16157" xr:uid="{BE5516F2-806C-4100-8E91-05EBD226A583}"/>
    <cellStyle name="Normal 5 2 5 2 6 3" xfId="11940" xr:uid="{EBC29A26-4468-4B63-8C0D-C669E6FA20AC}"/>
    <cellStyle name="Normal 5 2 5 2 7" xfId="4810" xr:uid="{00000000-0005-0000-0000-000036190000}"/>
    <cellStyle name="Normal 5 2 5 2 7 2" xfId="14092" xr:uid="{0444A09A-E595-4F19-ACD2-7BEF87AA18A7}"/>
    <cellStyle name="Normal 5 2 5 2 8" xfId="9875" xr:uid="{15289174-5D30-4F94-9D8A-1D2D45F8C3E2}"/>
    <cellStyle name="Normal 5 2 5 2 9" xfId="9041" xr:uid="{DB427C2E-0EF8-421C-9F8B-7606068B972D}"/>
    <cellStyle name="Normal 5 2 5 3" xfId="910" xr:uid="{00000000-0005-0000-0000-000037190000}"/>
    <cellStyle name="Normal 5 2 5 3 2" xfId="3145" xr:uid="{00000000-0005-0000-0000-000038190000}"/>
    <cellStyle name="Normal 5 2 5 3 2 2" xfId="7367" xr:uid="{00000000-0005-0000-0000-000039190000}"/>
    <cellStyle name="Normal 5 2 5 3 2 2 2" xfId="16649" xr:uid="{60D47F2A-D72D-4692-99E4-49ACAE788B5A}"/>
    <cellStyle name="Normal 5 2 5 3 2 3" xfId="12432" xr:uid="{2F6BDC9F-1CFC-4BBB-AE22-9F8A4EE2FF6C}"/>
    <cellStyle name="Normal 5 2 5 3 3" xfId="5222" xr:uid="{00000000-0005-0000-0000-00003A190000}"/>
    <cellStyle name="Normal 5 2 5 3 3 2" xfId="14504" xr:uid="{FC1DD87A-1765-479C-8BB4-01C55587F34E}"/>
    <cellStyle name="Normal 5 2 5 3 4" xfId="10287" xr:uid="{125411C6-0DF1-4808-B1FC-0079D831FAE2}"/>
    <cellStyle name="Normal 5 2 5 3 5" xfId="9459" xr:uid="{4933ABBC-FC1D-4C96-9219-57DB55D5FA0F}"/>
    <cellStyle name="Normal 5 2 5 4" xfId="1328" xr:uid="{00000000-0005-0000-0000-00003B190000}"/>
    <cellStyle name="Normal 5 2 5 4 2" xfId="3558" xr:uid="{00000000-0005-0000-0000-00003C190000}"/>
    <cellStyle name="Normal 5 2 5 4 2 2" xfId="7780" xr:uid="{00000000-0005-0000-0000-00003D190000}"/>
    <cellStyle name="Normal 5 2 5 4 2 2 2" xfId="17062" xr:uid="{94CC4C38-6D76-4574-A97A-71427B0D4351}"/>
    <cellStyle name="Normal 5 2 5 4 2 3" xfId="12845" xr:uid="{14E156BF-9224-4914-BA0B-7098C2A27F7B}"/>
    <cellStyle name="Normal 5 2 5 4 3" xfId="5635" xr:uid="{00000000-0005-0000-0000-00003E190000}"/>
    <cellStyle name="Normal 5 2 5 4 3 2" xfId="14917" xr:uid="{D9AE22AD-76A0-41C8-8E8A-56389787920A}"/>
    <cellStyle name="Normal 5 2 5 4 4" xfId="10700" xr:uid="{37D0A5B9-D581-4A81-A28B-78991E8218CB}"/>
    <cellStyle name="Normal 5 2 5 5" xfId="1741" xr:uid="{00000000-0005-0000-0000-00003F190000}"/>
    <cellStyle name="Normal 5 2 5 5 2" xfId="3971" xr:uid="{00000000-0005-0000-0000-000040190000}"/>
    <cellStyle name="Normal 5 2 5 5 2 2" xfId="8193" xr:uid="{00000000-0005-0000-0000-000041190000}"/>
    <cellStyle name="Normal 5 2 5 5 2 2 2" xfId="17475" xr:uid="{C561A791-07F4-42C5-9098-0177F53CE687}"/>
    <cellStyle name="Normal 5 2 5 5 2 3" xfId="13258" xr:uid="{2A6FF93C-FEF7-4812-A712-CED5099AB72C}"/>
    <cellStyle name="Normal 5 2 5 5 3" xfId="6048" xr:uid="{00000000-0005-0000-0000-000042190000}"/>
    <cellStyle name="Normal 5 2 5 5 3 2" xfId="15330" xr:uid="{CA128544-EDFD-44B4-A542-257D586A11A8}"/>
    <cellStyle name="Normal 5 2 5 5 4" xfId="11113" xr:uid="{A8DC488F-55FB-423B-BDE7-9B18A60F982B}"/>
    <cellStyle name="Normal 5 2 5 6" xfId="2155" xr:uid="{00000000-0005-0000-0000-000043190000}"/>
    <cellStyle name="Normal 5 2 5 6 2" xfId="4384" xr:uid="{00000000-0005-0000-0000-000044190000}"/>
    <cellStyle name="Normal 5 2 5 6 2 2" xfId="8606" xr:uid="{00000000-0005-0000-0000-000045190000}"/>
    <cellStyle name="Normal 5 2 5 6 2 2 2" xfId="17888" xr:uid="{ED861522-A3F7-4DDE-87F8-14506F981423}"/>
    <cellStyle name="Normal 5 2 5 6 2 3" xfId="13671" xr:uid="{08F65972-9C6F-4136-B366-F61A2BAAC875}"/>
    <cellStyle name="Normal 5 2 5 6 3" xfId="6461" xr:uid="{00000000-0005-0000-0000-000046190000}"/>
    <cellStyle name="Normal 5 2 5 6 3 2" xfId="15743" xr:uid="{449D8EAB-8F2C-4673-9708-898FFAFE12FA}"/>
    <cellStyle name="Normal 5 2 5 6 4" xfId="11526" xr:uid="{2A512ED9-A1EE-4DF3-A703-2276604D6262}"/>
    <cellStyle name="Normal 5 2 5 7" xfId="2591" xr:uid="{00000000-0005-0000-0000-000047190000}"/>
    <cellStyle name="Normal 5 2 5 7 2" xfId="6874" xr:uid="{00000000-0005-0000-0000-000048190000}"/>
    <cellStyle name="Normal 5 2 5 7 2 2" xfId="16156" xr:uid="{712C4FD9-3060-401F-B443-3684117875A6}"/>
    <cellStyle name="Normal 5 2 5 7 3" xfId="11939" xr:uid="{71DAA75E-90C1-400F-A49E-FFF8AC634C5D}"/>
    <cellStyle name="Normal 5 2 5 8" xfId="4809" xr:uid="{00000000-0005-0000-0000-000049190000}"/>
    <cellStyle name="Normal 5 2 5 8 2" xfId="14091" xr:uid="{A3ED66E0-A133-4975-8F9A-4787742E5CCE}"/>
    <cellStyle name="Normal 5 2 5 9" xfId="9874" xr:uid="{7D461121-4ECE-4CED-9849-5D1F0BF10CDA}"/>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51" xr:uid="{73246020-3A54-4B27-9E22-EC48363D76C4}"/>
    <cellStyle name="Normal 5 2 6 2 2 3" xfId="12434" xr:uid="{B5C44B18-9E92-4111-97A5-7F933E7DD0EC}"/>
    <cellStyle name="Normal 5 2 6 2 3" xfId="5224" xr:uid="{00000000-0005-0000-0000-00004E190000}"/>
    <cellStyle name="Normal 5 2 6 2 3 2" xfId="14506" xr:uid="{1EEF6B34-2651-468B-8865-AC15CD959130}"/>
    <cellStyle name="Normal 5 2 6 2 4" xfId="10289" xr:uid="{03C95F41-75E9-4D53-8E61-C8849B9A04A9}"/>
    <cellStyle name="Normal 5 2 6 2 5" xfId="9461" xr:uid="{6509EC3F-B006-48CA-B00A-F200BC165E9F}"/>
    <cellStyle name="Normal 5 2 6 3" xfId="1330" xr:uid="{00000000-0005-0000-0000-00004F190000}"/>
    <cellStyle name="Normal 5 2 6 3 2" xfId="3560" xr:uid="{00000000-0005-0000-0000-000050190000}"/>
    <cellStyle name="Normal 5 2 6 3 2 2" xfId="7782" xr:uid="{00000000-0005-0000-0000-000051190000}"/>
    <cellStyle name="Normal 5 2 6 3 2 2 2" xfId="17064" xr:uid="{F0427D41-993A-4BCC-8793-E82FB621A2DF}"/>
    <cellStyle name="Normal 5 2 6 3 2 3" xfId="12847" xr:uid="{603E20BA-1FE5-42BB-BD01-9385967610D8}"/>
    <cellStyle name="Normal 5 2 6 3 3" xfId="5637" xr:uid="{00000000-0005-0000-0000-000052190000}"/>
    <cellStyle name="Normal 5 2 6 3 3 2" xfId="14919" xr:uid="{9B25F48B-7C90-44C1-A099-47A881C57E8E}"/>
    <cellStyle name="Normal 5 2 6 3 4" xfId="10702" xr:uid="{4951100D-D56B-4439-B1FD-263741C815B8}"/>
    <cellStyle name="Normal 5 2 6 4" xfId="1743" xr:uid="{00000000-0005-0000-0000-000053190000}"/>
    <cellStyle name="Normal 5 2 6 4 2" xfId="3973" xr:uid="{00000000-0005-0000-0000-000054190000}"/>
    <cellStyle name="Normal 5 2 6 4 2 2" xfId="8195" xr:uid="{00000000-0005-0000-0000-000055190000}"/>
    <cellStyle name="Normal 5 2 6 4 2 2 2" xfId="17477" xr:uid="{98F38ADC-7913-468D-83B9-F7D756EB6BED}"/>
    <cellStyle name="Normal 5 2 6 4 2 3" xfId="13260" xr:uid="{67ED40D0-58AD-4F83-AC30-6B9E62DC430B}"/>
    <cellStyle name="Normal 5 2 6 4 3" xfId="6050" xr:uid="{00000000-0005-0000-0000-000056190000}"/>
    <cellStyle name="Normal 5 2 6 4 3 2" xfId="15332" xr:uid="{A9FC661E-A47D-48F8-B637-4A03493EC2DC}"/>
    <cellStyle name="Normal 5 2 6 4 4" xfId="11115" xr:uid="{B2E27B3B-D4E9-4127-B0ED-09958CB74E24}"/>
    <cellStyle name="Normal 5 2 6 5" xfId="2157" xr:uid="{00000000-0005-0000-0000-000057190000}"/>
    <cellStyle name="Normal 5 2 6 5 2" xfId="4386" xr:uid="{00000000-0005-0000-0000-000058190000}"/>
    <cellStyle name="Normal 5 2 6 5 2 2" xfId="8608" xr:uid="{00000000-0005-0000-0000-000059190000}"/>
    <cellStyle name="Normal 5 2 6 5 2 2 2" xfId="17890" xr:uid="{5EB9F63F-2BA7-4748-8FC9-AB8316736EDB}"/>
    <cellStyle name="Normal 5 2 6 5 2 3" xfId="13673" xr:uid="{5C393A0C-AA81-457E-9AA5-3133253DC675}"/>
    <cellStyle name="Normal 5 2 6 5 3" xfId="6463" xr:uid="{00000000-0005-0000-0000-00005A190000}"/>
    <cellStyle name="Normal 5 2 6 5 3 2" xfId="15745" xr:uid="{580F6E43-DDD0-492F-A885-F92F9730C330}"/>
    <cellStyle name="Normal 5 2 6 5 4" xfId="11528" xr:uid="{6240D43E-3637-473E-AF23-E71ECCB374F1}"/>
    <cellStyle name="Normal 5 2 6 6" xfId="2593" xr:uid="{00000000-0005-0000-0000-00005B190000}"/>
    <cellStyle name="Normal 5 2 6 6 2" xfId="6876" xr:uid="{00000000-0005-0000-0000-00005C190000}"/>
    <cellStyle name="Normal 5 2 6 6 2 2" xfId="16158" xr:uid="{B3E6495D-8960-48E3-91FA-CD3A97D7AD05}"/>
    <cellStyle name="Normal 5 2 6 6 3" xfId="11941" xr:uid="{C259087E-62F2-474F-A73F-B3A8C971BD5B}"/>
    <cellStyle name="Normal 5 2 6 7" xfId="4811" xr:uid="{00000000-0005-0000-0000-00005D190000}"/>
    <cellStyle name="Normal 5 2 6 7 2" xfId="14093" xr:uid="{9CC44CA7-0424-4D44-8764-C2B6CAC1583A}"/>
    <cellStyle name="Normal 5 2 6 8" xfId="9876" xr:uid="{AB5AE5E5-8A95-4281-89D0-33DA4810F883}"/>
    <cellStyle name="Normal 5 2 6 9" xfId="9042" xr:uid="{E46BDF77-04D7-4A79-8545-C41351482442}"/>
    <cellStyle name="Normal 5 2 7" xfId="881" xr:uid="{00000000-0005-0000-0000-00005E190000}"/>
    <cellStyle name="Normal 5 2 7 2" xfId="3116" xr:uid="{00000000-0005-0000-0000-00005F190000}"/>
    <cellStyle name="Normal 5 2 7 2 2" xfId="7338" xr:uid="{00000000-0005-0000-0000-000060190000}"/>
    <cellStyle name="Normal 5 2 7 2 2 2" xfId="16620" xr:uid="{9087B2C4-A956-4FDA-B9F0-EA54AC6B82E4}"/>
    <cellStyle name="Normal 5 2 7 2 3" xfId="12403" xr:uid="{19988B0B-62D4-426D-B4FA-446848526AE2}"/>
    <cellStyle name="Normal 5 2 7 3" xfId="5193" xr:uid="{00000000-0005-0000-0000-000061190000}"/>
    <cellStyle name="Normal 5 2 7 3 2" xfId="14475" xr:uid="{EFDBAE47-454B-4A62-A514-A711B28B1B1C}"/>
    <cellStyle name="Normal 5 2 7 4" xfId="10258" xr:uid="{94ADCD84-7893-4E75-B5D5-B0B51FDD630C}"/>
    <cellStyle name="Normal 5 2 7 5" xfId="9430" xr:uid="{11ECF21D-4CAB-47EA-9722-3FD66CC9D527}"/>
    <cellStyle name="Normal 5 2 8" xfId="1299" xr:uid="{00000000-0005-0000-0000-000062190000}"/>
    <cellStyle name="Normal 5 2 8 2" xfId="3529" xr:uid="{00000000-0005-0000-0000-000063190000}"/>
    <cellStyle name="Normal 5 2 8 2 2" xfId="7751" xr:uid="{00000000-0005-0000-0000-000064190000}"/>
    <cellStyle name="Normal 5 2 8 2 2 2" xfId="17033" xr:uid="{ADB11CE9-EEA9-43C1-8B5C-19B3548136BB}"/>
    <cellStyle name="Normal 5 2 8 2 3" xfId="12816" xr:uid="{910FA4BA-4FAC-4EE9-A121-999AB369A4A2}"/>
    <cellStyle name="Normal 5 2 8 3" xfId="5606" xr:uid="{00000000-0005-0000-0000-000065190000}"/>
    <cellStyle name="Normal 5 2 8 3 2" xfId="14888" xr:uid="{87BC75F8-A776-4681-83BB-22BC4877A2A2}"/>
    <cellStyle name="Normal 5 2 8 4" xfId="10671" xr:uid="{D7D6B2C0-3EAF-4EA1-BB18-6BF7D14B532B}"/>
    <cellStyle name="Normal 5 2 9" xfId="1712" xr:uid="{00000000-0005-0000-0000-000066190000}"/>
    <cellStyle name="Normal 5 2 9 2" xfId="3942" xr:uid="{00000000-0005-0000-0000-000067190000}"/>
    <cellStyle name="Normal 5 2 9 2 2" xfId="8164" xr:uid="{00000000-0005-0000-0000-000068190000}"/>
    <cellStyle name="Normal 5 2 9 2 2 2" xfId="17446" xr:uid="{4272403D-D6F8-4FDA-ADE2-055BAA6CC0A8}"/>
    <cellStyle name="Normal 5 2 9 2 3" xfId="13229" xr:uid="{66BF13B3-A122-44EC-AEF0-BA127CBF4F01}"/>
    <cellStyle name="Normal 5 2 9 3" xfId="6019" xr:uid="{00000000-0005-0000-0000-000069190000}"/>
    <cellStyle name="Normal 5 2 9 3 2" xfId="15301" xr:uid="{CEBE45C8-7446-44C5-8BBE-559E37A2DF8F}"/>
    <cellStyle name="Normal 5 2 9 4" xfId="11084" xr:uid="{709E06E1-EA8C-4AD3-B579-E3F11A2EA1F7}"/>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891" xr:uid="{0E4F28FC-19F2-4C10-8BDB-F097B783EED6}"/>
    <cellStyle name="Normal 5 3 10 2 3" xfId="13674" xr:uid="{A68161FF-725F-4FDC-9BFB-01D59A005A61}"/>
    <cellStyle name="Normal 5 3 10 3" xfId="6464" xr:uid="{00000000-0005-0000-0000-00006E190000}"/>
    <cellStyle name="Normal 5 3 10 3 2" xfId="15746" xr:uid="{6CCA0F7C-547C-4B83-8E25-68B663B02A1E}"/>
    <cellStyle name="Normal 5 3 10 4" xfId="11529" xr:uid="{C342D512-9A0F-4CCB-8AF7-B296F3B4570F}"/>
    <cellStyle name="Normal 5 3 11" xfId="2594" xr:uid="{00000000-0005-0000-0000-00006F190000}"/>
    <cellStyle name="Normal 5 3 11 2" xfId="6877" xr:uid="{00000000-0005-0000-0000-000070190000}"/>
    <cellStyle name="Normal 5 3 11 2 2" xfId="16159" xr:uid="{D7442293-6745-4134-9B9E-B73E742E1AE7}"/>
    <cellStyle name="Normal 5 3 11 3" xfId="11942" xr:uid="{224221D0-644E-476B-AAF3-CD09783E7766}"/>
    <cellStyle name="Normal 5 3 12" xfId="4812" xr:uid="{00000000-0005-0000-0000-000071190000}"/>
    <cellStyle name="Normal 5 3 12 2" xfId="14094" xr:uid="{58595AD3-5AE8-4977-84F7-C5145A390000}"/>
    <cellStyle name="Normal 5 3 13" xfId="9877" xr:uid="{B8D863B2-B3B6-42FE-8108-530BF68CAF17}"/>
    <cellStyle name="Normal 5 3 14" xfId="9043" xr:uid="{90FBF920-F867-4554-84D7-0EC845817554}"/>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095" xr:uid="{CF76DC29-E5BB-4D7C-AC3B-2821DDA10005}"/>
    <cellStyle name="Normal 5 3 3 11" xfId="9878" xr:uid="{00B65684-E825-4345-A72C-29A734D5EFA1}"/>
    <cellStyle name="Normal 5 3 3 12" xfId="9044" xr:uid="{D4566300-7B24-4FC6-9018-251680E762E7}"/>
    <cellStyle name="Normal 5 3 3 2" xfId="442" xr:uid="{00000000-0005-0000-0000-000076190000}"/>
    <cellStyle name="Normal 5 3 3 2 10" xfId="9879" xr:uid="{A526E593-F2F5-441B-8A66-DB3A0C3C0950}"/>
    <cellStyle name="Normal 5 3 3 2 11" xfId="9045" xr:uid="{BAD10F32-0AD8-4DFA-8939-5DEA0A2DCACE}"/>
    <cellStyle name="Normal 5 3 3 2 2" xfId="443" xr:uid="{00000000-0005-0000-0000-000077190000}"/>
    <cellStyle name="Normal 5 3 3 2 2 10" xfId="9046" xr:uid="{63E14E15-FBD6-49EC-9412-66667F7EE979}"/>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656" xr:uid="{56D04558-AFF7-4D86-B26A-A0651E861ECE}"/>
    <cellStyle name="Normal 5 3 3 2 2 2 2 2 3" xfId="12439" xr:uid="{ABEB11B0-87EA-4649-86B6-6388E555E9A9}"/>
    <cellStyle name="Normal 5 3 3 2 2 2 2 3" xfId="5229" xr:uid="{00000000-0005-0000-0000-00007C190000}"/>
    <cellStyle name="Normal 5 3 3 2 2 2 2 3 2" xfId="14511" xr:uid="{7FC100AA-2266-40BC-8830-5082B685B24F}"/>
    <cellStyle name="Normal 5 3 3 2 2 2 2 4" xfId="10294" xr:uid="{6A296FB6-70C9-4B5A-A4DC-E7715646949C}"/>
    <cellStyle name="Normal 5 3 3 2 2 2 2 5" xfId="9466" xr:uid="{D9541765-9917-49DE-ADB7-92F72AB6C4E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069" xr:uid="{50427FFE-2EB3-4F25-8DC2-41D9C794FB00}"/>
    <cellStyle name="Normal 5 3 3 2 2 2 3 2 3" xfId="12852" xr:uid="{F464108D-3D16-47A4-80C5-2808C3BBA931}"/>
    <cellStyle name="Normal 5 3 3 2 2 2 3 3" xfId="5642" xr:uid="{00000000-0005-0000-0000-000080190000}"/>
    <cellStyle name="Normal 5 3 3 2 2 2 3 3 2" xfId="14924" xr:uid="{C45803CD-139C-4802-8E5E-538205D043E4}"/>
    <cellStyle name="Normal 5 3 3 2 2 2 3 4" xfId="10707" xr:uid="{CF46FF0B-0492-4601-9D25-41E062E405A3}"/>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482" xr:uid="{80A574FF-6CD9-49A2-AE1A-CDF5D67DFD13}"/>
    <cellStyle name="Normal 5 3 3 2 2 2 4 2 3" xfId="13265" xr:uid="{43AC8C0E-02A6-4E45-99B7-C94D6FFA2695}"/>
    <cellStyle name="Normal 5 3 3 2 2 2 4 3" xfId="6055" xr:uid="{00000000-0005-0000-0000-000084190000}"/>
    <cellStyle name="Normal 5 3 3 2 2 2 4 3 2" xfId="15337" xr:uid="{39405651-6C9F-465C-B827-7012CD20857B}"/>
    <cellStyle name="Normal 5 3 3 2 2 2 4 4" xfId="11120" xr:uid="{4117ADF5-0D43-45C0-97D5-EE84F832F209}"/>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895" xr:uid="{5BF84E8E-3C4B-4143-9E39-8101EABA3E79}"/>
    <cellStyle name="Normal 5 3 3 2 2 2 5 2 3" xfId="13678" xr:uid="{15E0BC15-2290-4099-9A7F-0A51550FB196}"/>
    <cellStyle name="Normal 5 3 3 2 2 2 5 3" xfId="6468" xr:uid="{00000000-0005-0000-0000-000088190000}"/>
    <cellStyle name="Normal 5 3 3 2 2 2 5 3 2" xfId="15750" xr:uid="{49AE9013-8C44-4660-94D1-D57988803A4E}"/>
    <cellStyle name="Normal 5 3 3 2 2 2 5 4" xfId="11533" xr:uid="{526EB08D-6F3A-45E0-B7F0-9DC782038229}"/>
    <cellStyle name="Normal 5 3 3 2 2 2 6" xfId="2598" xr:uid="{00000000-0005-0000-0000-000089190000}"/>
    <cellStyle name="Normal 5 3 3 2 2 2 6 2" xfId="6881" xr:uid="{00000000-0005-0000-0000-00008A190000}"/>
    <cellStyle name="Normal 5 3 3 2 2 2 6 2 2" xfId="16163" xr:uid="{1A08543D-82F0-4B31-B2F5-3CC923F692C3}"/>
    <cellStyle name="Normal 5 3 3 2 2 2 6 3" xfId="11946" xr:uid="{BC84497A-3938-4AB7-BA9A-177AFD9CF183}"/>
    <cellStyle name="Normal 5 3 3 2 2 2 7" xfId="4816" xr:uid="{00000000-0005-0000-0000-00008B190000}"/>
    <cellStyle name="Normal 5 3 3 2 2 2 7 2" xfId="14098" xr:uid="{008850C1-C448-45C8-951F-149D219F066E}"/>
    <cellStyle name="Normal 5 3 3 2 2 2 8" xfId="9881" xr:uid="{9DA07B26-EA23-4779-A1C8-6B5DF1DF83C3}"/>
    <cellStyle name="Normal 5 3 3 2 2 2 9" xfId="9047" xr:uid="{D7E4C10F-19D7-4A3E-A160-003A61DAEF6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55" xr:uid="{B48A9956-4639-431D-BEBB-DE2AB4411572}"/>
    <cellStyle name="Normal 5 3 3 2 2 3 2 3" xfId="12438" xr:uid="{DC129155-8B9F-41AE-A9E7-5F92153C3327}"/>
    <cellStyle name="Normal 5 3 3 2 2 3 3" xfId="5228" xr:uid="{00000000-0005-0000-0000-00008F190000}"/>
    <cellStyle name="Normal 5 3 3 2 2 3 3 2" xfId="14510" xr:uid="{D503B5A3-D093-4A1B-86AF-A73DAACBDEAB}"/>
    <cellStyle name="Normal 5 3 3 2 2 3 4" xfId="10293" xr:uid="{1310EDFA-B1EE-483A-8A74-69F8194B3001}"/>
    <cellStyle name="Normal 5 3 3 2 2 3 5" xfId="9465" xr:uid="{50A7F823-26CE-46FC-A81B-40431A12652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068" xr:uid="{ACB60B96-47A4-412A-BC6E-7D542BD6AE8B}"/>
    <cellStyle name="Normal 5 3 3 2 2 4 2 3" xfId="12851" xr:uid="{08A601AD-BE12-4E13-84C0-2B7827073B97}"/>
    <cellStyle name="Normal 5 3 3 2 2 4 3" xfId="5641" xr:uid="{00000000-0005-0000-0000-000093190000}"/>
    <cellStyle name="Normal 5 3 3 2 2 4 3 2" xfId="14923" xr:uid="{5BFB9C95-3657-4D9D-B2BC-9FD820F51659}"/>
    <cellStyle name="Normal 5 3 3 2 2 4 4" xfId="10706" xr:uid="{A1DD8466-34F1-472D-BCB3-861D0BD319C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481" xr:uid="{FDE1A93F-676E-44A9-BCF1-203572B8B678}"/>
    <cellStyle name="Normal 5 3 3 2 2 5 2 3" xfId="13264" xr:uid="{1B0ADCB9-57FC-48DF-9C07-FDF77C434056}"/>
    <cellStyle name="Normal 5 3 3 2 2 5 3" xfId="6054" xr:uid="{00000000-0005-0000-0000-000097190000}"/>
    <cellStyle name="Normal 5 3 3 2 2 5 3 2" xfId="15336" xr:uid="{A79658AC-0775-495C-BF69-5FAA6E987006}"/>
    <cellStyle name="Normal 5 3 3 2 2 5 4" xfId="11119" xr:uid="{6BDF166D-1FEE-4BFA-A56C-8AB2F4BC3E3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894" xr:uid="{D6B403D1-80F0-4615-A563-CC5219E266F7}"/>
    <cellStyle name="Normal 5 3 3 2 2 6 2 3" xfId="13677" xr:uid="{0B8A51D2-FD40-4CCF-A9AA-87FDFB67A0D1}"/>
    <cellStyle name="Normal 5 3 3 2 2 6 3" xfId="6467" xr:uid="{00000000-0005-0000-0000-00009B190000}"/>
    <cellStyle name="Normal 5 3 3 2 2 6 3 2" xfId="15749" xr:uid="{B97AE4B8-E121-422A-9165-BA11FF1382F0}"/>
    <cellStyle name="Normal 5 3 3 2 2 6 4" xfId="11532" xr:uid="{C3669F21-A8B8-478B-9D95-1E63C6152053}"/>
    <cellStyle name="Normal 5 3 3 2 2 7" xfId="2597" xr:uid="{00000000-0005-0000-0000-00009C190000}"/>
    <cellStyle name="Normal 5 3 3 2 2 7 2" xfId="6880" xr:uid="{00000000-0005-0000-0000-00009D190000}"/>
    <cellStyle name="Normal 5 3 3 2 2 7 2 2" xfId="16162" xr:uid="{A22612EB-9DB0-4344-89CB-5358AC38AA0D}"/>
    <cellStyle name="Normal 5 3 3 2 2 7 3" xfId="11945" xr:uid="{0E790769-86EF-4336-913C-904DBF20DE45}"/>
    <cellStyle name="Normal 5 3 3 2 2 8" xfId="4815" xr:uid="{00000000-0005-0000-0000-00009E190000}"/>
    <cellStyle name="Normal 5 3 3 2 2 8 2" xfId="14097" xr:uid="{05743536-CE7D-4DCB-BA84-C737362BAC50}"/>
    <cellStyle name="Normal 5 3 3 2 2 9" xfId="9880" xr:uid="{F613FD03-CB14-4595-9FE0-A63952F8F0A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657" xr:uid="{D9AA97EC-980A-4501-AAA1-9BB714871654}"/>
    <cellStyle name="Normal 5 3 3 2 3 2 2 3" xfId="12440" xr:uid="{4816F912-8459-4457-BB9B-F9AB7C126EF1}"/>
    <cellStyle name="Normal 5 3 3 2 3 2 3" xfId="5230" xr:uid="{00000000-0005-0000-0000-0000A3190000}"/>
    <cellStyle name="Normal 5 3 3 2 3 2 3 2" xfId="14512" xr:uid="{DE2D2FD2-72BB-4D0B-965F-57A76D8D1B1C}"/>
    <cellStyle name="Normal 5 3 3 2 3 2 4" xfId="10295" xr:uid="{6C0BFCF0-3870-4014-9B10-928F9C005D12}"/>
    <cellStyle name="Normal 5 3 3 2 3 2 5" xfId="9467" xr:uid="{AFC3A71A-B732-41E8-B738-2F917EFF591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070" xr:uid="{917B81E3-8CA6-4C4B-9B64-A9788E4925DD}"/>
    <cellStyle name="Normal 5 3 3 2 3 3 2 3" xfId="12853" xr:uid="{90F89E64-14C7-4D50-9CD7-A6993ECAF320}"/>
    <cellStyle name="Normal 5 3 3 2 3 3 3" xfId="5643" xr:uid="{00000000-0005-0000-0000-0000A7190000}"/>
    <cellStyle name="Normal 5 3 3 2 3 3 3 2" xfId="14925" xr:uid="{BF66B78E-649D-42F7-89C8-60EC1AFCB0DC}"/>
    <cellStyle name="Normal 5 3 3 2 3 3 4" xfId="10708" xr:uid="{D50F16EB-B2B7-4584-B67C-65F1D2EDE0A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483" xr:uid="{84D749DE-54DB-4531-A6B9-70645CBA3D5B}"/>
    <cellStyle name="Normal 5 3 3 2 3 4 2 3" xfId="13266" xr:uid="{948D0330-D820-4A53-A3CB-3A416A4B8804}"/>
    <cellStyle name="Normal 5 3 3 2 3 4 3" xfId="6056" xr:uid="{00000000-0005-0000-0000-0000AB190000}"/>
    <cellStyle name="Normal 5 3 3 2 3 4 3 2" xfId="15338" xr:uid="{7D407437-B335-4F5E-88CE-383F09A43435}"/>
    <cellStyle name="Normal 5 3 3 2 3 4 4" xfId="11121" xr:uid="{75A04EBD-0644-4652-AC7D-178227CD56EA}"/>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896" xr:uid="{F058F433-D3E6-4D8B-99CB-47D8C5FE27A7}"/>
    <cellStyle name="Normal 5 3 3 2 3 5 2 3" xfId="13679" xr:uid="{EA481687-F3F8-4F7B-9371-816E96A4E8F9}"/>
    <cellStyle name="Normal 5 3 3 2 3 5 3" xfId="6469" xr:uid="{00000000-0005-0000-0000-0000AF190000}"/>
    <cellStyle name="Normal 5 3 3 2 3 5 3 2" xfId="15751" xr:uid="{F4A17D31-2B63-4164-A6F1-24B9C017E545}"/>
    <cellStyle name="Normal 5 3 3 2 3 5 4" xfId="11534" xr:uid="{BCA8140E-741A-4127-B828-93B65C9CE7F0}"/>
    <cellStyle name="Normal 5 3 3 2 3 6" xfId="2599" xr:uid="{00000000-0005-0000-0000-0000B0190000}"/>
    <cellStyle name="Normal 5 3 3 2 3 6 2" xfId="6882" xr:uid="{00000000-0005-0000-0000-0000B1190000}"/>
    <cellStyle name="Normal 5 3 3 2 3 6 2 2" xfId="16164" xr:uid="{E4E0C492-754E-45B1-BD98-DFDEAD2B3F84}"/>
    <cellStyle name="Normal 5 3 3 2 3 6 3" xfId="11947" xr:uid="{D3DC3A2E-01CC-4DDB-8748-B6B50C8C45B5}"/>
    <cellStyle name="Normal 5 3 3 2 3 7" xfId="4817" xr:uid="{00000000-0005-0000-0000-0000B2190000}"/>
    <cellStyle name="Normal 5 3 3 2 3 7 2" xfId="14099" xr:uid="{58F095F3-7110-4603-9846-DF6D89B97832}"/>
    <cellStyle name="Normal 5 3 3 2 3 8" xfId="9882" xr:uid="{40F8D5F4-7C23-43EF-8044-7BC1710E5160}"/>
    <cellStyle name="Normal 5 3 3 2 3 9" xfId="9048" xr:uid="{85FA1613-4FC7-46E4-814C-528BBC866E84}"/>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54" xr:uid="{4B11248D-AE93-4642-A925-E9D58823640C}"/>
    <cellStyle name="Normal 5 3 3 2 4 2 3" xfId="12437" xr:uid="{B455ACB8-4A9E-4ED9-9B51-CCE3A3E6AF05}"/>
    <cellStyle name="Normal 5 3 3 2 4 3" xfId="5227" xr:uid="{00000000-0005-0000-0000-0000B6190000}"/>
    <cellStyle name="Normal 5 3 3 2 4 3 2" xfId="14509" xr:uid="{8861DCC4-DE75-4666-81DA-6286AE2CD727}"/>
    <cellStyle name="Normal 5 3 3 2 4 4" xfId="10292" xr:uid="{DD403018-CF06-4E6F-A515-682612293285}"/>
    <cellStyle name="Normal 5 3 3 2 4 5" xfId="9464" xr:uid="{B396A7F5-BE4E-4E7C-A51A-2487EDB33CAA}"/>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067" xr:uid="{267D54E8-14B9-4CE6-A64C-1104791B130D}"/>
    <cellStyle name="Normal 5 3 3 2 5 2 3" xfId="12850" xr:uid="{370EDB77-122F-40D7-9B80-DD62B1DE3B46}"/>
    <cellStyle name="Normal 5 3 3 2 5 3" xfId="5640" xr:uid="{00000000-0005-0000-0000-0000BA190000}"/>
    <cellStyle name="Normal 5 3 3 2 5 3 2" xfId="14922" xr:uid="{8EA217A7-0BDA-41FD-9E8E-C68EEA7BF668}"/>
    <cellStyle name="Normal 5 3 3 2 5 4" xfId="10705" xr:uid="{9334D452-0AAD-4D76-825A-FF634257A534}"/>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480" xr:uid="{7401FE2A-B274-4F34-A925-441B84ED740E}"/>
    <cellStyle name="Normal 5 3 3 2 6 2 3" xfId="13263" xr:uid="{44926DFB-4F69-458F-A81C-55CE781E595D}"/>
    <cellStyle name="Normal 5 3 3 2 6 3" xfId="6053" xr:uid="{00000000-0005-0000-0000-0000BE190000}"/>
    <cellStyle name="Normal 5 3 3 2 6 3 2" xfId="15335" xr:uid="{CD003729-F7F4-48DF-9E25-448C91997202}"/>
    <cellStyle name="Normal 5 3 3 2 6 4" xfId="11118" xr:uid="{23D75439-CAED-41CC-8E36-1F19816E1E56}"/>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893" xr:uid="{47AE75C3-9F5B-4451-AD00-B69C2FB616E1}"/>
    <cellStyle name="Normal 5 3 3 2 7 2 3" xfId="13676" xr:uid="{34AD7DB9-FAFB-4E5C-A395-D48CD28F78AD}"/>
    <cellStyle name="Normal 5 3 3 2 7 3" xfId="6466" xr:uid="{00000000-0005-0000-0000-0000C2190000}"/>
    <cellStyle name="Normal 5 3 3 2 7 3 2" xfId="15748" xr:uid="{58D57AC2-A179-49C9-8B35-642F94C3AF10}"/>
    <cellStyle name="Normal 5 3 3 2 7 4" xfId="11531" xr:uid="{2A4F0AAD-6006-43EB-A4A6-8D3D0FCFCF93}"/>
    <cellStyle name="Normal 5 3 3 2 8" xfId="2596" xr:uid="{00000000-0005-0000-0000-0000C3190000}"/>
    <cellStyle name="Normal 5 3 3 2 8 2" xfId="6879" xr:uid="{00000000-0005-0000-0000-0000C4190000}"/>
    <cellStyle name="Normal 5 3 3 2 8 2 2" xfId="16161" xr:uid="{22CD99FB-71E5-4BB8-A9E8-47A49A400BA7}"/>
    <cellStyle name="Normal 5 3 3 2 8 3" xfId="11944" xr:uid="{AC15426A-E325-4D0A-9A9F-E2A9D5CFF635}"/>
    <cellStyle name="Normal 5 3 3 2 9" xfId="4814" xr:uid="{00000000-0005-0000-0000-0000C5190000}"/>
    <cellStyle name="Normal 5 3 3 2 9 2" xfId="14096" xr:uid="{B7F73EBA-AF4F-45AC-8B08-B3785BA7D0F0}"/>
    <cellStyle name="Normal 5 3 3 3" xfId="446" xr:uid="{00000000-0005-0000-0000-0000C6190000}"/>
    <cellStyle name="Normal 5 3 3 3 10" xfId="9049" xr:uid="{9A3FF55B-2A0A-417F-B86F-4CF6487087A3}"/>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659" xr:uid="{1C4D877A-5918-4208-A5B5-256FAA083526}"/>
    <cellStyle name="Normal 5 3 3 3 2 2 2 3" xfId="12442" xr:uid="{F25C2D31-6CAE-4D8F-AB7C-AD787529C8B2}"/>
    <cellStyle name="Normal 5 3 3 3 2 2 3" xfId="5232" xr:uid="{00000000-0005-0000-0000-0000CB190000}"/>
    <cellStyle name="Normal 5 3 3 3 2 2 3 2" xfId="14514" xr:uid="{1C5E69E0-8C6E-4238-8AF7-E8AC66E88BE2}"/>
    <cellStyle name="Normal 5 3 3 3 2 2 4" xfId="10297" xr:uid="{C990DAB1-2916-42DC-B85D-70CFDB9A8DB1}"/>
    <cellStyle name="Normal 5 3 3 3 2 2 5" xfId="9469" xr:uid="{DBA1CE39-93B3-47F9-B444-B11364893CD5}"/>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072" xr:uid="{F81768F4-0B0B-4B9B-93E9-50C08F234151}"/>
    <cellStyle name="Normal 5 3 3 3 2 3 2 3" xfId="12855" xr:uid="{DD4AC892-7762-480A-BF25-5C54C33A4118}"/>
    <cellStyle name="Normal 5 3 3 3 2 3 3" xfId="5645" xr:uid="{00000000-0005-0000-0000-0000CF190000}"/>
    <cellStyle name="Normal 5 3 3 3 2 3 3 2" xfId="14927" xr:uid="{F1DB2C6B-D976-415A-93C1-338293D3B57B}"/>
    <cellStyle name="Normal 5 3 3 3 2 3 4" xfId="10710" xr:uid="{6B00717E-4541-43EA-BCF7-FAFD51EEE954}"/>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485" xr:uid="{1F0D66B5-FB71-4C09-AC03-C8BE14052180}"/>
    <cellStyle name="Normal 5 3 3 3 2 4 2 3" xfId="13268" xr:uid="{1D735D67-E126-4B81-96D0-7B035B55C498}"/>
    <cellStyle name="Normal 5 3 3 3 2 4 3" xfId="6058" xr:uid="{00000000-0005-0000-0000-0000D3190000}"/>
    <cellStyle name="Normal 5 3 3 3 2 4 3 2" xfId="15340" xr:uid="{F0642B75-EAAF-4E41-A19D-41B056B8A025}"/>
    <cellStyle name="Normal 5 3 3 3 2 4 4" xfId="11123" xr:uid="{81495B6E-0FF1-4BE2-A5D0-77C5F56D9EC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898" xr:uid="{3E498884-0D99-45C4-8948-2CD01A826337}"/>
    <cellStyle name="Normal 5 3 3 3 2 5 2 3" xfId="13681" xr:uid="{77B5BA94-DF05-4B2B-B309-9072EEC372BC}"/>
    <cellStyle name="Normal 5 3 3 3 2 5 3" xfId="6471" xr:uid="{00000000-0005-0000-0000-0000D7190000}"/>
    <cellStyle name="Normal 5 3 3 3 2 5 3 2" xfId="15753" xr:uid="{F1517E5A-4792-4476-A204-5D8F53604544}"/>
    <cellStyle name="Normal 5 3 3 3 2 5 4" xfId="11536" xr:uid="{85504A01-B49D-4BE4-BE6E-0FEA195E5FED}"/>
    <cellStyle name="Normal 5 3 3 3 2 6" xfId="2601" xr:uid="{00000000-0005-0000-0000-0000D8190000}"/>
    <cellStyle name="Normal 5 3 3 3 2 6 2" xfId="6884" xr:uid="{00000000-0005-0000-0000-0000D9190000}"/>
    <cellStyle name="Normal 5 3 3 3 2 6 2 2" xfId="16166" xr:uid="{32C3767A-83B2-4187-B6C8-9DA4DB58835A}"/>
    <cellStyle name="Normal 5 3 3 3 2 6 3" xfId="11949" xr:uid="{4F74DF78-010F-462E-9186-727BCA1B83B0}"/>
    <cellStyle name="Normal 5 3 3 3 2 7" xfId="4819" xr:uid="{00000000-0005-0000-0000-0000DA190000}"/>
    <cellStyle name="Normal 5 3 3 3 2 7 2" xfId="14101" xr:uid="{6098FFDD-7D45-4368-91F1-4B21936A052B}"/>
    <cellStyle name="Normal 5 3 3 3 2 8" xfId="9884" xr:uid="{1FD2FF5B-DAA4-4611-8C20-DCA9EDFFF8A2}"/>
    <cellStyle name="Normal 5 3 3 3 2 9" xfId="9050" xr:uid="{168FB940-9ACA-4BCA-8774-3253399F141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658" xr:uid="{DB48B294-8E62-4727-A4B0-44D31C6D6973}"/>
    <cellStyle name="Normal 5 3 3 3 3 2 3" xfId="12441" xr:uid="{263F76B0-2B6A-454E-A439-A776D7AD985C}"/>
    <cellStyle name="Normal 5 3 3 3 3 3" xfId="5231" xr:uid="{00000000-0005-0000-0000-0000DE190000}"/>
    <cellStyle name="Normal 5 3 3 3 3 3 2" xfId="14513" xr:uid="{7610E0E7-6F42-4730-A9E8-5DAD590E04FE}"/>
    <cellStyle name="Normal 5 3 3 3 3 4" xfId="10296" xr:uid="{D554E713-F532-4E85-BE0B-6CD4E4191DD0}"/>
    <cellStyle name="Normal 5 3 3 3 3 5" xfId="9468" xr:uid="{35682C7F-DC4C-4044-BC09-F99B90CAC64A}"/>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071" xr:uid="{D948B7AE-2BE0-4EFA-BCF8-D01BD2D1BE30}"/>
    <cellStyle name="Normal 5 3 3 3 4 2 3" xfId="12854" xr:uid="{1FC81661-BA06-4A8E-B816-4077103DBD49}"/>
    <cellStyle name="Normal 5 3 3 3 4 3" xfId="5644" xr:uid="{00000000-0005-0000-0000-0000E2190000}"/>
    <cellStyle name="Normal 5 3 3 3 4 3 2" xfId="14926" xr:uid="{449B6E2B-5682-4D75-ACEB-A5EB3F913365}"/>
    <cellStyle name="Normal 5 3 3 3 4 4" xfId="10709" xr:uid="{754BF645-818B-4B0E-AD58-5BE1A3B260BA}"/>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484" xr:uid="{38457AD8-C008-4C95-ACA7-050FF9C43905}"/>
    <cellStyle name="Normal 5 3 3 3 5 2 3" xfId="13267" xr:uid="{6654FE98-7B39-4893-B34B-60598C5F6344}"/>
    <cellStyle name="Normal 5 3 3 3 5 3" xfId="6057" xr:uid="{00000000-0005-0000-0000-0000E6190000}"/>
    <cellStyle name="Normal 5 3 3 3 5 3 2" xfId="15339" xr:uid="{C1BC2658-1243-4008-BA75-78897EDA5DA2}"/>
    <cellStyle name="Normal 5 3 3 3 5 4" xfId="11122" xr:uid="{2039C33C-76B1-4F88-815E-2020E7EC872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897" xr:uid="{C0EA717E-1978-4FB3-BCB9-11F2B271854F}"/>
    <cellStyle name="Normal 5 3 3 3 6 2 3" xfId="13680" xr:uid="{D22B1684-7656-458E-9C35-257F45A4FAE6}"/>
    <cellStyle name="Normal 5 3 3 3 6 3" xfId="6470" xr:uid="{00000000-0005-0000-0000-0000EA190000}"/>
    <cellStyle name="Normal 5 3 3 3 6 3 2" xfId="15752" xr:uid="{2A675AEF-5642-4664-B6BF-9C73C13B9FEA}"/>
    <cellStyle name="Normal 5 3 3 3 6 4" xfId="11535" xr:uid="{E065931C-6F1F-4F2B-B66D-AC15CB2DFA57}"/>
    <cellStyle name="Normal 5 3 3 3 7" xfId="2600" xr:uid="{00000000-0005-0000-0000-0000EB190000}"/>
    <cellStyle name="Normal 5 3 3 3 7 2" xfId="6883" xr:uid="{00000000-0005-0000-0000-0000EC190000}"/>
    <cellStyle name="Normal 5 3 3 3 7 2 2" xfId="16165" xr:uid="{79526C74-4705-4C7A-972D-7F8E14804340}"/>
    <cellStyle name="Normal 5 3 3 3 7 3" xfId="11948" xr:uid="{D9260D69-5972-4E9E-9FC5-2F6FAB9207F8}"/>
    <cellStyle name="Normal 5 3 3 3 8" xfId="4818" xr:uid="{00000000-0005-0000-0000-0000ED190000}"/>
    <cellStyle name="Normal 5 3 3 3 8 2" xfId="14100" xr:uid="{1DDF09FD-3DB4-459F-8936-0D2C46E02CFB}"/>
    <cellStyle name="Normal 5 3 3 3 9" xfId="9883" xr:uid="{BEFF4838-1352-413B-8487-A7ACA73B1905}"/>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660" xr:uid="{9091F809-BB11-46A5-81A0-3124282C6300}"/>
    <cellStyle name="Normal 5 3 3 4 2 2 3" xfId="12443" xr:uid="{78EC5869-1263-4B5D-B3E4-F855EF52F8BB}"/>
    <cellStyle name="Normal 5 3 3 4 2 3" xfId="5233" xr:uid="{00000000-0005-0000-0000-0000F2190000}"/>
    <cellStyle name="Normal 5 3 3 4 2 3 2" xfId="14515" xr:uid="{27BA70D8-487B-4042-9735-600A7FF87E2D}"/>
    <cellStyle name="Normal 5 3 3 4 2 4" xfId="10298" xr:uid="{0306AC13-FD74-46ED-87C2-157D430D7E7F}"/>
    <cellStyle name="Normal 5 3 3 4 2 5" xfId="9470" xr:uid="{DA9B9F8A-11C0-40EE-984A-332FCF14B68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073" xr:uid="{1D385174-2E8A-4981-9AAA-4E73B0A24E2F}"/>
    <cellStyle name="Normal 5 3 3 4 3 2 3" xfId="12856" xr:uid="{AD75F5F6-4C2E-4757-A652-CCA56E6F8FFA}"/>
    <cellStyle name="Normal 5 3 3 4 3 3" xfId="5646" xr:uid="{00000000-0005-0000-0000-0000F6190000}"/>
    <cellStyle name="Normal 5 3 3 4 3 3 2" xfId="14928" xr:uid="{D3A59DA0-08C7-4376-A6A3-0051F4C51A71}"/>
    <cellStyle name="Normal 5 3 3 4 3 4" xfId="10711" xr:uid="{DE4CAFA7-1706-4039-9178-40E8940F625C}"/>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486" xr:uid="{110A1FBF-F5ED-42E6-86EC-3FDCB1A16427}"/>
    <cellStyle name="Normal 5 3 3 4 4 2 3" xfId="13269" xr:uid="{C6AB4E85-5D6D-4366-8DAB-EB0FE0E24702}"/>
    <cellStyle name="Normal 5 3 3 4 4 3" xfId="6059" xr:uid="{00000000-0005-0000-0000-0000FA190000}"/>
    <cellStyle name="Normal 5 3 3 4 4 3 2" xfId="15341" xr:uid="{89CA0873-7C4D-4ED0-9636-9271158505E3}"/>
    <cellStyle name="Normal 5 3 3 4 4 4" xfId="11124" xr:uid="{15A7D6D7-D207-4228-B4FF-78FC7CB7F8D9}"/>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899" xr:uid="{F4502C62-E568-48CA-9EE7-34B9B0FB0462}"/>
    <cellStyle name="Normal 5 3 3 4 5 2 3" xfId="13682" xr:uid="{E8B12FDC-EEDD-4A28-A98F-AF85E2C0B319}"/>
    <cellStyle name="Normal 5 3 3 4 5 3" xfId="6472" xr:uid="{00000000-0005-0000-0000-0000FE190000}"/>
    <cellStyle name="Normal 5 3 3 4 5 3 2" xfId="15754" xr:uid="{5E445C02-49A0-4383-A8EB-8FCDDC625E07}"/>
    <cellStyle name="Normal 5 3 3 4 5 4" xfId="11537" xr:uid="{B801F72A-BD3F-4DEC-AD13-017B1FDA17A6}"/>
    <cellStyle name="Normal 5 3 3 4 6" xfId="2602" xr:uid="{00000000-0005-0000-0000-0000FF190000}"/>
    <cellStyle name="Normal 5 3 3 4 6 2" xfId="6885" xr:uid="{00000000-0005-0000-0000-0000001A0000}"/>
    <cellStyle name="Normal 5 3 3 4 6 2 2" xfId="16167" xr:uid="{2490F452-6787-46EC-8B0C-18AAD6B3A556}"/>
    <cellStyle name="Normal 5 3 3 4 6 3" xfId="11950" xr:uid="{C195F718-DCD9-46E8-9FB2-A8822E242553}"/>
    <cellStyle name="Normal 5 3 3 4 7" xfId="4820" xr:uid="{00000000-0005-0000-0000-0000011A0000}"/>
    <cellStyle name="Normal 5 3 3 4 7 2" xfId="14102" xr:uid="{692CD363-7F38-4145-872D-34D97995637B}"/>
    <cellStyle name="Normal 5 3 3 4 8" xfId="9885" xr:uid="{441E0AE6-1E9C-4596-A23C-2C84D41707E1}"/>
    <cellStyle name="Normal 5 3 3 4 9" xfId="9051" xr:uid="{85DA2B9A-F7B6-4334-B16F-0A56742DB6C4}"/>
    <cellStyle name="Normal 5 3 3 5" xfId="915" xr:uid="{00000000-0005-0000-0000-0000021A0000}"/>
    <cellStyle name="Normal 5 3 3 5 2" xfId="3149" xr:uid="{00000000-0005-0000-0000-0000031A0000}"/>
    <cellStyle name="Normal 5 3 3 5 2 2" xfId="7371" xr:uid="{00000000-0005-0000-0000-0000041A0000}"/>
    <cellStyle name="Normal 5 3 3 5 2 2 2" xfId="16653" xr:uid="{E81C00FD-F47D-4ACF-B7C6-67C7D30770AC}"/>
    <cellStyle name="Normal 5 3 3 5 2 3" xfId="12436" xr:uid="{2DD96033-A046-46DE-9510-B12855E7943B}"/>
    <cellStyle name="Normal 5 3 3 5 3" xfId="5226" xr:uid="{00000000-0005-0000-0000-0000051A0000}"/>
    <cellStyle name="Normal 5 3 3 5 3 2" xfId="14508" xr:uid="{6F410942-DB64-4B8C-B0CB-06BB15D463A1}"/>
    <cellStyle name="Normal 5 3 3 5 4" xfId="10291" xr:uid="{2AA542DE-2303-415D-B0CE-FB0B7CF5F592}"/>
    <cellStyle name="Normal 5 3 3 5 5" xfId="9463" xr:uid="{D99481A4-A976-47CE-86BD-731F95392FA3}"/>
    <cellStyle name="Normal 5 3 3 6" xfId="1332" xr:uid="{00000000-0005-0000-0000-0000061A0000}"/>
    <cellStyle name="Normal 5 3 3 6 2" xfId="3562" xr:uid="{00000000-0005-0000-0000-0000071A0000}"/>
    <cellStyle name="Normal 5 3 3 6 2 2" xfId="7784" xr:uid="{00000000-0005-0000-0000-0000081A0000}"/>
    <cellStyle name="Normal 5 3 3 6 2 2 2" xfId="17066" xr:uid="{2397F1C6-E29C-4C12-8F8D-6FA98453B0A8}"/>
    <cellStyle name="Normal 5 3 3 6 2 3" xfId="12849" xr:uid="{CC678745-6A05-40F8-A808-7624AEB37C19}"/>
    <cellStyle name="Normal 5 3 3 6 3" xfId="5639" xr:uid="{00000000-0005-0000-0000-0000091A0000}"/>
    <cellStyle name="Normal 5 3 3 6 3 2" xfId="14921" xr:uid="{78FF4C43-AA91-440F-BFE1-36DB9BCA0140}"/>
    <cellStyle name="Normal 5 3 3 6 4" xfId="10704" xr:uid="{6CF4777A-28DF-4317-966D-5D9D027295AE}"/>
    <cellStyle name="Normal 5 3 3 7" xfId="1745" xr:uid="{00000000-0005-0000-0000-00000A1A0000}"/>
    <cellStyle name="Normal 5 3 3 7 2" xfId="3975" xr:uid="{00000000-0005-0000-0000-00000B1A0000}"/>
    <cellStyle name="Normal 5 3 3 7 2 2" xfId="8197" xr:uid="{00000000-0005-0000-0000-00000C1A0000}"/>
    <cellStyle name="Normal 5 3 3 7 2 2 2" xfId="17479" xr:uid="{CB0EB4A2-9F3F-4821-9C30-F18AB89544D7}"/>
    <cellStyle name="Normal 5 3 3 7 2 3" xfId="13262" xr:uid="{9A93FE3D-97BA-44D0-BF6E-B74380F1407F}"/>
    <cellStyle name="Normal 5 3 3 7 3" xfId="6052" xr:uid="{00000000-0005-0000-0000-00000D1A0000}"/>
    <cellStyle name="Normal 5 3 3 7 3 2" xfId="15334" xr:uid="{51BB4549-3554-414E-933E-8F861098EA8B}"/>
    <cellStyle name="Normal 5 3 3 7 4" xfId="11117" xr:uid="{248F4173-309C-4B1A-BF63-C7ED9D386223}"/>
    <cellStyle name="Normal 5 3 3 8" xfId="2159" xr:uid="{00000000-0005-0000-0000-00000E1A0000}"/>
    <cellStyle name="Normal 5 3 3 8 2" xfId="4388" xr:uid="{00000000-0005-0000-0000-00000F1A0000}"/>
    <cellStyle name="Normal 5 3 3 8 2 2" xfId="8610" xr:uid="{00000000-0005-0000-0000-0000101A0000}"/>
    <cellStyle name="Normal 5 3 3 8 2 2 2" xfId="17892" xr:uid="{CC3AC825-20EE-40CC-BF8F-483E1A05A22A}"/>
    <cellStyle name="Normal 5 3 3 8 2 3" xfId="13675" xr:uid="{D4E0FE96-B699-4858-B929-C81CC4355BDE}"/>
    <cellStyle name="Normal 5 3 3 8 3" xfId="6465" xr:uid="{00000000-0005-0000-0000-0000111A0000}"/>
    <cellStyle name="Normal 5 3 3 8 3 2" xfId="15747" xr:uid="{97555195-6B38-4584-97AA-D3169DE6BCAF}"/>
    <cellStyle name="Normal 5 3 3 8 4" xfId="11530" xr:uid="{94185BF2-9591-49EA-9171-7E2D1F37CC87}"/>
    <cellStyle name="Normal 5 3 3 9" xfId="2595" xr:uid="{00000000-0005-0000-0000-0000121A0000}"/>
    <cellStyle name="Normal 5 3 3 9 2" xfId="6878" xr:uid="{00000000-0005-0000-0000-0000131A0000}"/>
    <cellStyle name="Normal 5 3 3 9 2 2" xfId="16160" xr:uid="{CFB57C39-5B75-4D75-939C-397DDDCB5092}"/>
    <cellStyle name="Normal 5 3 3 9 3" xfId="11943" xr:uid="{2EBE4C25-3428-4055-B59B-5545F2EF2CB4}"/>
    <cellStyle name="Normal 5 3 4" xfId="449" xr:uid="{00000000-0005-0000-0000-0000141A0000}"/>
    <cellStyle name="Normal 5 3 4 10" xfId="9886" xr:uid="{4D56DE46-BA6D-4367-9BAC-B7E17533E5D9}"/>
    <cellStyle name="Normal 5 3 4 11" xfId="9052" xr:uid="{3FA3FC19-D726-4434-88F5-C5567CAD51F0}"/>
    <cellStyle name="Normal 5 3 4 2" xfId="450" xr:uid="{00000000-0005-0000-0000-0000151A0000}"/>
    <cellStyle name="Normal 5 3 4 2 10" xfId="9053" xr:uid="{0B173FE2-97BB-4659-8DDF-AEDE429F5A3E}"/>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663" xr:uid="{97CD5501-5804-482A-8924-AC8A6EA1BEE5}"/>
    <cellStyle name="Normal 5 3 4 2 2 2 2 3" xfId="12446" xr:uid="{9AFBBED4-46A9-4E1B-B34D-D5287825FAC2}"/>
    <cellStyle name="Normal 5 3 4 2 2 2 3" xfId="5236" xr:uid="{00000000-0005-0000-0000-00001A1A0000}"/>
    <cellStyle name="Normal 5 3 4 2 2 2 3 2" xfId="14518" xr:uid="{3841F7A8-C324-4751-BF15-BB01240772C4}"/>
    <cellStyle name="Normal 5 3 4 2 2 2 4" xfId="10301" xr:uid="{F953A2A7-C9C3-491D-A68D-A6A9543338A5}"/>
    <cellStyle name="Normal 5 3 4 2 2 2 5" xfId="9473" xr:uid="{B6A9DDDC-97F2-4288-8EAE-E1A7D8040762}"/>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076" xr:uid="{6C042B3B-D539-4CD6-A53F-CD5EC19352DB}"/>
    <cellStyle name="Normal 5 3 4 2 2 3 2 3" xfId="12859" xr:uid="{F8E6DF02-E7AE-4A6D-9725-377AE878075B}"/>
    <cellStyle name="Normal 5 3 4 2 2 3 3" xfId="5649" xr:uid="{00000000-0005-0000-0000-00001E1A0000}"/>
    <cellStyle name="Normal 5 3 4 2 2 3 3 2" xfId="14931" xr:uid="{A3BFF2EE-1198-4886-9FA6-9756F92AF8AD}"/>
    <cellStyle name="Normal 5 3 4 2 2 3 4" xfId="10714" xr:uid="{14A836E1-645C-4A61-BA12-0B99FB35027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489" xr:uid="{5D7B6944-88CE-45E1-A854-5F05BFE41A2C}"/>
    <cellStyle name="Normal 5 3 4 2 2 4 2 3" xfId="13272" xr:uid="{F6453D57-7E37-4DC2-88F8-BF8B797B7504}"/>
    <cellStyle name="Normal 5 3 4 2 2 4 3" xfId="6062" xr:uid="{00000000-0005-0000-0000-0000221A0000}"/>
    <cellStyle name="Normal 5 3 4 2 2 4 3 2" xfId="15344" xr:uid="{FD811C88-CC9C-4534-8EAF-3B21EEB1403B}"/>
    <cellStyle name="Normal 5 3 4 2 2 4 4" xfId="11127" xr:uid="{F1170B82-C174-45C1-B51C-97C6809D63E5}"/>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02" xr:uid="{1688396A-4319-4A76-B836-8654BFBE9E17}"/>
    <cellStyle name="Normal 5 3 4 2 2 5 2 3" xfId="13685" xr:uid="{60985799-EF64-49C1-9160-35B9102A3B19}"/>
    <cellStyle name="Normal 5 3 4 2 2 5 3" xfId="6475" xr:uid="{00000000-0005-0000-0000-0000261A0000}"/>
    <cellStyle name="Normal 5 3 4 2 2 5 3 2" xfId="15757" xr:uid="{5899DF6C-1CEC-4648-9CB9-CE0A6554E257}"/>
    <cellStyle name="Normal 5 3 4 2 2 5 4" xfId="11540" xr:uid="{1308EA9F-0D9E-4CC4-9736-44EC9FDC68C0}"/>
    <cellStyle name="Normal 5 3 4 2 2 6" xfId="2605" xr:uid="{00000000-0005-0000-0000-0000271A0000}"/>
    <cellStyle name="Normal 5 3 4 2 2 6 2" xfId="6888" xr:uid="{00000000-0005-0000-0000-0000281A0000}"/>
    <cellStyle name="Normal 5 3 4 2 2 6 2 2" xfId="16170" xr:uid="{D5752473-08C9-48EE-A9F3-46106B38D80B}"/>
    <cellStyle name="Normal 5 3 4 2 2 6 3" xfId="11953" xr:uid="{8A9C79E2-D65A-4634-9EEC-EAFFE7C6A69C}"/>
    <cellStyle name="Normal 5 3 4 2 2 7" xfId="4823" xr:uid="{00000000-0005-0000-0000-0000291A0000}"/>
    <cellStyle name="Normal 5 3 4 2 2 7 2" xfId="14105" xr:uid="{020A8BAD-6E70-40D0-9D2B-71D2D3583A21}"/>
    <cellStyle name="Normal 5 3 4 2 2 8" xfId="9888" xr:uid="{4B5C0B7D-9D41-433D-B0A2-9713743BF1AA}"/>
    <cellStyle name="Normal 5 3 4 2 2 9" xfId="9054" xr:uid="{F5D5BFAC-4FE7-4F46-A681-4128A60D039D}"/>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662" xr:uid="{8EFA8C20-7B93-4142-8EF4-78ABD4E97601}"/>
    <cellStyle name="Normal 5 3 4 2 3 2 3" xfId="12445" xr:uid="{A8BC3F10-60D1-4B7D-999B-0C55FEEDBFC1}"/>
    <cellStyle name="Normal 5 3 4 2 3 3" xfId="5235" xr:uid="{00000000-0005-0000-0000-00002D1A0000}"/>
    <cellStyle name="Normal 5 3 4 2 3 3 2" xfId="14517" xr:uid="{B5F09733-4653-4E2C-9B31-108588E00E0B}"/>
    <cellStyle name="Normal 5 3 4 2 3 4" xfId="10300" xr:uid="{FA80EEF5-858A-4BB8-AB7E-8922B32EA7B4}"/>
    <cellStyle name="Normal 5 3 4 2 3 5" xfId="9472" xr:uid="{591239E6-ACA7-4DB9-8A7B-A5A1E159514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075" xr:uid="{9FB58265-7E49-4842-A554-4728DD18C102}"/>
    <cellStyle name="Normal 5 3 4 2 4 2 3" xfId="12858" xr:uid="{77314586-9354-4EF6-BA8B-1313B9BA7CCC}"/>
    <cellStyle name="Normal 5 3 4 2 4 3" xfId="5648" xr:uid="{00000000-0005-0000-0000-0000311A0000}"/>
    <cellStyle name="Normal 5 3 4 2 4 3 2" xfId="14930" xr:uid="{5CD9935D-DE5A-460A-8573-455CF6F2BDCA}"/>
    <cellStyle name="Normal 5 3 4 2 4 4" xfId="10713" xr:uid="{79EDC37B-8BEB-4026-933F-715A845A9517}"/>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488" xr:uid="{1276AD58-9B4E-4AA8-98C5-6A3146C4BF53}"/>
    <cellStyle name="Normal 5 3 4 2 5 2 3" xfId="13271" xr:uid="{7E136447-CBDD-4A3B-B7E2-260F625796A6}"/>
    <cellStyle name="Normal 5 3 4 2 5 3" xfId="6061" xr:uid="{00000000-0005-0000-0000-0000351A0000}"/>
    <cellStyle name="Normal 5 3 4 2 5 3 2" xfId="15343" xr:uid="{86430D72-144A-4068-95D0-F0E6F7D73305}"/>
    <cellStyle name="Normal 5 3 4 2 5 4" xfId="11126" xr:uid="{0364D64C-67B1-4C1B-BA23-3FAE3E48E5E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01" xr:uid="{46924F69-9801-4B4D-BC77-EF7E31063001}"/>
    <cellStyle name="Normal 5 3 4 2 6 2 3" xfId="13684" xr:uid="{6F2610BD-F2C2-43E9-A44C-939A0A03384B}"/>
    <cellStyle name="Normal 5 3 4 2 6 3" xfId="6474" xr:uid="{00000000-0005-0000-0000-0000391A0000}"/>
    <cellStyle name="Normal 5 3 4 2 6 3 2" xfId="15756" xr:uid="{F41B55EC-867C-46D4-88D8-4C96217069A7}"/>
    <cellStyle name="Normal 5 3 4 2 6 4" xfId="11539" xr:uid="{FC125074-D4D2-496A-92F6-D8C87A130716}"/>
    <cellStyle name="Normal 5 3 4 2 7" xfId="2604" xr:uid="{00000000-0005-0000-0000-00003A1A0000}"/>
    <cellStyle name="Normal 5 3 4 2 7 2" xfId="6887" xr:uid="{00000000-0005-0000-0000-00003B1A0000}"/>
    <cellStyle name="Normal 5 3 4 2 7 2 2" xfId="16169" xr:uid="{A93DFC61-6E19-4E98-854F-714F580EAD38}"/>
    <cellStyle name="Normal 5 3 4 2 7 3" xfId="11952" xr:uid="{FF9176EE-5547-4E0E-A5CB-A2772726A999}"/>
    <cellStyle name="Normal 5 3 4 2 8" xfId="4822" xr:uid="{00000000-0005-0000-0000-00003C1A0000}"/>
    <cellStyle name="Normal 5 3 4 2 8 2" xfId="14104" xr:uid="{3A7358B6-BCB4-4331-85A4-3E62355A4F35}"/>
    <cellStyle name="Normal 5 3 4 2 9" xfId="9887" xr:uid="{85FF0536-A94D-4DE7-A863-7C690399A957}"/>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664" xr:uid="{5EF13491-D838-49D2-A075-CEEC10B6E789}"/>
    <cellStyle name="Normal 5 3 4 3 2 2 3" xfId="12447" xr:uid="{3DA57639-1E03-40B3-94C1-7DCC37B68362}"/>
    <cellStyle name="Normal 5 3 4 3 2 3" xfId="5237" xr:uid="{00000000-0005-0000-0000-0000411A0000}"/>
    <cellStyle name="Normal 5 3 4 3 2 3 2" xfId="14519" xr:uid="{D2015831-B6AC-40D0-B528-ED80AC7AE135}"/>
    <cellStyle name="Normal 5 3 4 3 2 4" xfId="10302" xr:uid="{4ABBD012-0EC7-4DEB-BC02-21CDE40D2803}"/>
    <cellStyle name="Normal 5 3 4 3 2 5" xfId="9474" xr:uid="{CCE5E24D-0693-4DCB-A89B-9C26E7CB0744}"/>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077" xr:uid="{04732A24-DCD1-448C-A5FF-7E5FFC158398}"/>
    <cellStyle name="Normal 5 3 4 3 3 2 3" xfId="12860" xr:uid="{BC6FDA64-9C63-4849-988E-7DB6B8FF7296}"/>
    <cellStyle name="Normal 5 3 4 3 3 3" xfId="5650" xr:uid="{00000000-0005-0000-0000-0000451A0000}"/>
    <cellStyle name="Normal 5 3 4 3 3 3 2" xfId="14932" xr:uid="{8CCBA733-9072-4821-94FB-D3152C301BC5}"/>
    <cellStyle name="Normal 5 3 4 3 3 4" xfId="10715" xr:uid="{E03C8F77-402B-4767-88CE-28B0816840B1}"/>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490" xr:uid="{27813EC2-474F-4D11-9A66-993831C48CBD}"/>
    <cellStyle name="Normal 5 3 4 3 4 2 3" xfId="13273" xr:uid="{801F28E2-A43A-4642-A4E8-96BE3C45B4F1}"/>
    <cellStyle name="Normal 5 3 4 3 4 3" xfId="6063" xr:uid="{00000000-0005-0000-0000-0000491A0000}"/>
    <cellStyle name="Normal 5 3 4 3 4 3 2" xfId="15345" xr:uid="{DDA05EE6-DB37-4B66-AD7E-347819481759}"/>
    <cellStyle name="Normal 5 3 4 3 4 4" xfId="11128" xr:uid="{7B5781D8-5FB3-4628-BD5C-847E22DF873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03" xr:uid="{6641C9DC-1B88-49FE-8C5C-B21345B58DBB}"/>
    <cellStyle name="Normal 5 3 4 3 5 2 3" xfId="13686" xr:uid="{4B8E001E-C3EE-4199-A03B-F9D1D1D3F454}"/>
    <cellStyle name="Normal 5 3 4 3 5 3" xfId="6476" xr:uid="{00000000-0005-0000-0000-00004D1A0000}"/>
    <cellStyle name="Normal 5 3 4 3 5 3 2" xfId="15758" xr:uid="{ADE635A7-DE40-43A7-A636-A2F493C1787A}"/>
    <cellStyle name="Normal 5 3 4 3 5 4" xfId="11541" xr:uid="{3A3657DA-AC72-4327-ABE7-8F4E0623C550}"/>
    <cellStyle name="Normal 5 3 4 3 6" xfId="2606" xr:uid="{00000000-0005-0000-0000-00004E1A0000}"/>
    <cellStyle name="Normal 5 3 4 3 6 2" xfId="6889" xr:uid="{00000000-0005-0000-0000-00004F1A0000}"/>
    <cellStyle name="Normal 5 3 4 3 6 2 2" xfId="16171" xr:uid="{9A13028C-96EB-4775-9D25-7D80BD4D27A4}"/>
    <cellStyle name="Normal 5 3 4 3 6 3" xfId="11954" xr:uid="{B8FC4B13-BE3B-4C4E-9363-ABCD98641A29}"/>
    <cellStyle name="Normal 5 3 4 3 7" xfId="4824" xr:uid="{00000000-0005-0000-0000-0000501A0000}"/>
    <cellStyle name="Normal 5 3 4 3 7 2" xfId="14106" xr:uid="{88945A83-F19A-4AD8-9CFA-D55BA8250478}"/>
    <cellStyle name="Normal 5 3 4 3 8" xfId="9889" xr:uid="{A3D9482A-5BDB-4087-923B-A5E955BA38CD}"/>
    <cellStyle name="Normal 5 3 4 3 9" xfId="9055" xr:uid="{040A86CC-AACE-4AFD-B5D2-AE365970C123}"/>
    <cellStyle name="Normal 5 3 4 4" xfId="923" xr:uid="{00000000-0005-0000-0000-0000511A0000}"/>
    <cellStyle name="Normal 5 3 4 4 2" xfId="3157" xr:uid="{00000000-0005-0000-0000-0000521A0000}"/>
    <cellStyle name="Normal 5 3 4 4 2 2" xfId="7379" xr:uid="{00000000-0005-0000-0000-0000531A0000}"/>
    <cellStyle name="Normal 5 3 4 4 2 2 2" xfId="16661" xr:uid="{1B49874A-4D7A-4FFF-94FF-83E6698B5B48}"/>
    <cellStyle name="Normal 5 3 4 4 2 3" xfId="12444" xr:uid="{0F929E55-4319-4055-85B4-AFB4243EF3D7}"/>
    <cellStyle name="Normal 5 3 4 4 3" xfId="5234" xr:uid="{00000000-0005-0000-0000-0000541A0000}"/>
    <cellStyle name="Normal 5 3 4 4 3 2" xfId="14516" xr:uid="{C0F281D7-4C03-462D-9BF2-18FC81923BE6}"/>
    <cellStyle name="Normal 5 3 4 4 4" xfId="10299" xr:uid="{4DB9425E-49F1-44B4-949A-73F43083D92A}"/>
    <cellStyle name="Normal 5 3 4 4 5" xfId="9471" xr:uid="{444DB557-1934-47CF-BABF-E1D5271976AF}"/>
    <cellStyle name="Normal 5 3 4 5" xfId="1340" xr:uid="{00000000-0005-0000-0000-0000551A0000}"/>
    <cellStyle name="Normal 5 3 4 5 2" xfId="3570" xr:uid="{00000000-0005-0000-0000-0000561A0000}"/>
    <cellStyle name="Normal 5 3 4 5 2 2" xfId="7792" xr:uid="{00000000-0005-0000-0000-0000571A0000}"/>
    <cellStyle name="Normal 5 3 4 5 2 2 2" xfId="17074" xr:uid="{207B30D8-B6DD-467D-96E0-9872A9D46C7A}"/>
    <cellStyle name="Normal 5 3 4 5 2 3" xfId="12857" xr:uid="{443B3521-A398-417B-80B8-E151AE5D4ACF}"/>
    <cellStyle name="Normal 5 3 4 5 3" xfId="5647" xr:uid="{00000000-0005-0000-0000-0000581A0000}"/>
    <cellStyle name="Normal 5 3 4 5 3 2" xfId="14929" xr:uid="{A639BAA8-608C-4C7D-BB02-B6622E38819D}"/>
    <cellStyle name="Normal 5 3 4 5 4" xfId="10712" xr:uid="{87FBAF67-E619-431B-8F7B-7193CEAF8DBC}"/>
    <cellStyle name="Normal 5 3 4 6" xfId="1753" xr:uid="{00000000-0005-0000-0000-0000591A0000}"/>
    <cellStyle name="Normal 5 3 4 6 2" xfId="3983" xr:uid="{00000000-0005-0000-0000-00005A1A0000}"/>
    <cellStyle name="Normal 5 3 4 6 2 2" xfId="8205" xr:uid="{00000000-0005-0000-0000-00005B1A0000}"/>
    <cellStyle name="Normal 5 3 4 6 2 2 2" xfId="17487" xr:uid="{FE5A9520-DE40-4BF5-966D-0D1F7F051516}"/>
    <cellStyle name="Normal 5 3 4 6 2 3" xfId="13270" xr:uid="{06E49A73-EE80-43C5-A44B-A746F5109905}"/>
    <cellStyle name="Normal 5 3 4 6 3" xfId="6060" xr:uid="{00000000-0005-0000-0000-00005C1A0000}"/>
    <cellStyle name="Normal 5 3 4 6 3 2" xfId="15342" xr:uid="{5EDDFBB9-33B8-452D-9CD7-BD2E0367B948}"/>
    <cellStyle name="Normal 5 3 4 6 4" xfId="11125" xr:uid="{373BEB41-5F03-4CCD-9FA1-1C57C5AE3FA6}"/>
    <cellStyle name="Normal 5 3 4 7" xfId="2167" xr:uid="{00000000-0005-0000-0000-00005D1A0000}"/>
    <cellStyle name="Normal 5 3 4 7 2" xfId="4396" xr:uid="{00000000-0005-0000-0000-00005E1A0000}"/>
    <cellStyle name="Normal 5 3 4 7 2 2" xfId="8618" xr:uid="{00000000-0005-0000-0000-00005F1A0000}"/>
    <cellStyle name="Normal 5 3 4 7 2 2 2" xfId="17900" xr:uid="{7F122006-E0D6-4190-8B8D-C7DD3F130D4A}"/>
    <cellStyle name="Normal 5 3 4 7 2 3" xfId="13683" xr:uid="{3AF11D36-6E09-4325-BCF4-6E09DD907AF2}"/>
    <cellStyle name="Normal 5 3 4 7 3" xfId="6473" xr:uid="{00000000-0005-0000-0000-0000601A0000}"/>
    <cellStyle name="Normal 5 3 4 7 3 2" xfId="15755" xr:uid="{15CDE1A8-1969-40B2-9C66-177F42F8B835}"/>
    <cellStyle name="Normal 5 3 4 7 4" xfId="11538" xr:uid="{609B23E5-F834-4E80-9F77-46BE6FDC7381}"/>
    <cellStyle name="Normal 5 3 4 8" xfId="2603" xr:uid="{00000000-0005-0000-0000-0000611A0000}"/>
    <cellStyle name="Normal 5 3 4 8 2" xfId="6886" xr:uid="{00000000-0005-0000-0000-0000621A0000}"/>
    <cellStyle name="Normal 5 3 4 8 2 2" xfId="16168" xr:uid="{F18F7A54-70B7-4D72-B5CE-EC9389BBA183}"/>
    <cellStyle name="Normal 5 3 4 8 3" xfId="11951" xr:uid="{B67B642C-FD5D-4526-BF1A-21C41224C7A7}"/>
    <cellStyle name="Normal 5 3 4 9" xfId="4821" xr:uid="{00000000-0005-0000-0000-0000631A0000}"/>
    <cellStyle name="Normal 5 3 4 9 2" xfId="14103" xr:uid="{BD10566E-47BB-4F62-B343-BED05F1CD33D}"/>
    <cellStyle name="Normal 5 3 5" xfId="453" xr:uid="{00000000-0005-0000-0000-0000641A0000}"/>
    <cellStyle name="Normal 5 3 5 10" xfId="9056" xr:uid="{FAC2A248-F158-4C9A-9F47-807A494399C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666" xr:uid="{1B238E3C-BE88-4772-AB2B-D5334187A6A3}"/>
    <cellStyle name="Normal 5 3 5 2 2 2 3" xfId="12449" xr:uid="{38857B05-AE54-4D65-A5AD-1D3500A537D0}"/>
    <cellStyle name="Normal 5 3 5 2 2 3" xfId="5239" xr:uid="{00000000-0005-0000-0000-0000691A0000}"/>
    <cellStyle name="Normal 5 3 5 2 2 3 2" xfId="14521" xr:uid="{F8F1484A-940C-4637-98DC-019CCA62AA7F}"/>
    <cellStyle name="Normal 5 3 5 2 2 4" xfId="10304" xr:uid="{5E36EBE1-FA9B-476A-80BB-E6E46D257BBF}"/>
    <cellStyle name="Normal 5 3 5 2 2 5" xfId="9476" xr:uid="{2F974BFB-23BA-464A-8C0F-D25B2C14D675}"/>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079" xr:uid="{966CC062-E9C0-4B9B-9F14-1091BCBF4338}"/>
    <cellStyle name="Normal 5 3 5 2 3 2 3" xfId="12862" xr:uid="{DAD79DC8-50B5-4073-97F4-12420E7B837A}"/>
    <cellStyle name="Normal 5 3 5 2 3 3" xfId="5652" xr:uid="{00000000-0005-0000-0000-00006D1A0000}"/>
    <cellStyle name="Normal 5 3 5 2 3 3 2" xfId="14934" xr:uid="{A4C0F56E-1F03-4F2B-B4C9-2FD7525D7E9F}"/>
    <cellStyle name="Normal 5 3 5 2 3 4" xfId="10717" xr:uid="{0BFB550E-F1A5-4D25-8A31-E1E250D72299}"/>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492" xr:uid="{F39C1273-551D-4894-AA87-FB9FBB30F556}"/>
    <cellStyle name="Normal 5 3 5 2 4 2 3" xfId="13275" xr:uid="{DA0CDC22-3503-4E2D-97A2-D155C4043630}"/>
    <cellStyle name="Normal 5 3 5 2 4 3" xfId="6065" xr:uid="{00000000-0005-0000-0000-0000711A0000}"/>
    <cellStyle name="Normal 5 3 5 2 4 3 2" xfId="15347" xr:uid="{611FB10F-948B-4099-94BE-0B4C2F8B6D2D}"/>
    <cellStyle name="Normal 5 3 5 2 4 4" xfId="11130" xr:uid="{AAE7F8BB-06F3-4D20-938D-BF74E13239DB}"/>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05" xr:uid="{3B383FCC-CB1A-4B03-A4D9-12D99D8DC422}"/>
    <cellStyle name="Normal 5 3 5 2 5 2 3" xfId="13688" xr:uid="{2C291608-C1D3-4AA7-B802-43612E72C6B5}"/>
    <cellStyle name="Normal 5 3 5 2 5 3" xfId="6478" xr:uid="{00000000-0005-0000-0000-0000751A0000}"/>
    <cellStyle name="Normal 5 3 5 2 5 3 2" xfId="15760" xr:uid="{4F56B290-1321-4AE8-B2DB-612439493659}"/>
    <cellStyle name="Normal 5 3 5 2 5 4" xfId="11543" xr:uid="{1AA4CCA6-C706-4283-867C-4274B55151DF}"/>
    <cellStyle name="Normal 5 3 5 2 6" xfId="2608" xr:uid="{00000000-0005-0000-0000-0000761A0000}"/>
    <cellStyle name="Normal 5 3 5 2 6 2" xfId="6891" xr:uid="{00000000-0005-0000-0000-0000771A0000}"/>
    <cellStyle name="Normal 5 3 5 2 6 2 2" xfId="16173" xr:uid="{794BFAD0-5212-4ED9-A2BD-96D91B6335DD}"/>
    <cellStyle name="Normal 5 3 5 2 6 3" xfId="11956" xr:uid="{F6986BB4-AE0C-4B81-98AD-2AE45E8220AD}"/>
    <cellStyle name="Normal 5 3 5 2 7" xfId="4826" xr:uid="{00000000-0005-0000-0000-0000781A0000}"/>
    <cellStyle name="Normal 5 3 5 2 7 2" xfId="14108" xr:uid="{54FFE861-94E0-435C-9C19-6F58044639A7}"/>
    <cellStyle name="Normal 5 3 5 2 8" xfId="9891" xr:uid="{D7A84CBF-6DC2-4017-91A5-7D892E5B90B1}"/>
    <cellStyle name="Normal 5 3 5 2 9" xfId="9057" xr:uid="{14DBD456-D5A2-4796-90AB-64EC647B0717}"/>
    <cellStyle name="Normal 5 3 5 3" xfId="927" xr:uid="{00000000-0005-0000-0000-0000791A0000}"/>
    <cellStyle name="Normal 5 3 5 3 2" xfId="3161" xr:uid="{00000000-0005-0000-0000-00007A1A0000}"/>
    <cellStyle name="Normal 5 3 5 3 2 2" xfId="7383" xr:uid="{00000000-0005-0000-0000-00007B1A0000}"/>
    <cellStyle name="Normal 5 3 5 3 2 2 2" xfId="16665" xr:uid="{F0E019E0-824C-47E6-99DC-E0B505FB0E35}"/>
    <cellStyle name="Normal 5 3 5 3 2 3" xfId="12448" xr:uid="{FEE9273B-4EE3-46D4-9DCB-C3420221DA0D}"/>
    <cellStyle name="Normal 5 3 5 3 3" xfId="5238" xr:uid="{00000000-0005-0000-0000-00007C1A0000}"/>
    <cellStyle name="Normal 5 3 5 3 3 2" xfId="14520" xr:uid="{C44F4315-2FE0-4FB7-9086-A86F0456EDBE}"/>
    <cellStyle name="Normal 5 3 5 3 4" xfId="10303" xr:uid="{4465302A-40C2-4E9B-8DF4-0DBA0D1AA032}"/>
    <cellStyle name="Normal 5 3 5 3 5" xfId="9475" xr:uid="{A41447E7-B2E4-49D5-8052-39C1E5C73C77}"/>
    <cellStyle name="Normal 5 3 5 4" xfId="1344" xr:uid="{00000000-0005-0000-0000-00007D1A0000}"/>
    <cellStyle name="Normal 5 3 5 4 2" xfId="3574" xr:uid="{00000000-0005-0000-0000-00007E1A0000}"/>
    <cellStyle name="Normal 5 3 5 4 2 2" xfId="7796" xr:uid="{00000000-0005-0000-0000-00007F1A0000}"/>
    <cellStyle name="Normal 5 3 5 4 2 2 2" xfId="17078" xr:uid="{C9D7FAB3-A55F-497B-9E88-D973F0EB7660}"/>
    <cellStyle name="Normal 5 3 5 4 2 3" xfId="12861" xr:uid="{B4DDA7CD-FA85-4190-8C9D-935775D50434}"/>
    <cellStyle name="Normal 5 3 5 4 3" xfId="5651" xr:uid="{00000000-0005-0000-0000-0000801A0000}"/>
    <cellStyle name="Normal 5 3 5 4 3 2" xfId="14933" xr:uid="{56CAE191-8A3B-4070-B982-EB4138D2F50B}"/>
    <cellStyle name="Normal 5 3 5 4 4" xfId="10716" xr:uid="{23E505F2-9A36-47BA-85F5-7689A8A347E1}"/>
    <cellStyle name="Normal 5 3 5 5" xfId="1757" xr:uid="{00000000-0005-0000-0000-0000811A0000}"/>
    <cellStyle name="Normal 5 3 5 5 2" xfId="3987" xr:uid="{00000000-0005-0000-0000-0000821A0000}"/>
    <cellStyle name="Normal 5 3 5 5 2 2" xfId="8209" xr:uid="{00000000-0005-0000-0000-0000831A0000}"/>
    <cellStyle name="Normal 5 3 5 5 2 2 2" xfId="17491" xr:uid="{FB370CA8-2965-4E6D-AE58-DA8EC50EA64F}"/>
    <cellStyle name="Normal 5 3 5 5 2 3" xfId="13274" xr:uid="{822D9329-A693-4AEE-9C29-87568FBB8252}"/>
    <cellStyle name="Normal 5 3 5 5 3" xfId="6064" xr:uid="{00000000-0005-0000-0000-0000841A0000}"/>
    <cellStyle name="Normal 5 3 5 5 3 2" xfId="15346" xr:uid="{F226A2AE-2352-4E70-BA83-733086CEB77B}"/>
    <cellStyle name="Normal 5 3 5 5 4" xfId="11129" xr:uid="{9150D7B8-9D3D-456F-AA78-7D282CC92478}"/>
    <cellStyle name="Normal 5 3 5 6" xfId="2171" xr:uid="{00000000-0005-0000-0000-0000851A0000}"/>
    <cellStyle name="Normal 5 3 5 6 2" xfId="4400" xr:uid="{00000000-0005-0000-0000-0000861A0000}"/>
    <cellStyle name="Normal 5 3 5 6 2 2" xfId="8622" xr:uid="{00000000-0005-0000-0000-0000871A0000}"/>
    <cellStyle name="Normal 5 3 5 6 2 2 2" xfId="17904" xr:uid="{DCA63290-33F4-42BB-9592-0DEDA10CA80F}"/>
    <cellStyle name="Normal 5 3 5 6 2 3" xfId="13687" xr:uid="{D038A827-26D3-4639-9988-94F8D8118CC3}"/>
    <cellStyle name="Normal 5 3 5 6 3" xfId="6477" xr:uid="{00000000-0005-0000-0000-0000881A0000}"/>
    <cellStyle name="Normal 5 3 5 6 3 2" xfId="15759" xr:uid="{0FA0D5CE-9E77-454A-A77D-3F18D1D72E8F}"/>
    <cellStyle name="Normal 5 3 5 6 4" xfId="11542" xr:uid="{66694D1C-67CC-47A7-818D-A76A680AEFF8}"/>
    <cellStyle name="Normal 5 3 5 7" xfId="2607" xr:uid="{00000000-0005-0000-0000-0000891A0000}"/>
    <cellStyle name="Normal 5 3 5 7 2" xfId="6890" xr:uid="{00000000-0005-0000-0000-00008A1A0000}"/>
    <cellStyle name="Normal 5 3 5 7 2 2" xfId="16172" xr:uid="{A1AE1A10-9344-44E6-A23E-40EE7D824384}"/>
    <cellStyle name="Normal 5 3 5 7 3" xfId="11955" xr:uid="{00F42C24-803D-41CD-BC67-31D338AAE353}"/>
    <cellStyle name="Normal 5 3 5 8" xfId="4825" xr:uid="{00000000-0005-0000-0000-00008B1A0000}"/>
    <cellStyle name="Normal 5 3 5 8 2" xfId="14107" xr:uid="{88B91CD4-DA57-412C-B450-FC31411089A6}"/>
    <cellStyle name="Normal 5 3 5 9" xfId="9890" xr:uid="{A576032B-EFB2-4E8C-862D-3FCBBC086F1B}"/>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667" xr:uid="{547BFD09-B3AD-4086-B49F-76352D623EB9}"/>
    <cellStyle name="Normal 5 3 6 2 2 3" xfId="12450" xr:uid="{F8C59D86-F414-4F90-9F56-18A37677E0BF}"/>
    <cellStyle name="Normal 5 3 6 2 3" xfId="5240" xr:uid="{00000000-0005-0000-0000-0000901A0000}"/>
    <cellStyle name="Normal 5 3 6 2 3 2" xfId="14522" xr:uid="{7D7FF65E-7624-4FE6-AE25-26AB48704EC3}"/>
    <cellStyle name="Normal 5 3 6 2 4" xfId="10305" xr:uid="{663976D7-6831-444C-A6D4-E5825D4BAEB1}"/>
    <cellStyle name="Normal 5 3 6 2 5" xfId="9477" xr:uid="{C97B7892-FA65-4F14-A4C1-A5EC4868AF4D}"/>
    <cellStyle name="Normal 5 3 6 3" xfId="1346" xr:uid="{00000000-0005-0000-0000-0000911A0000}"/>
    <cellStyle name="Normal 5 3 6 3 2" xfId="3576" xr:uid="{00000000-0005-0000-0000-0000921A0000}"/>
    <cellStyle name="Normal 5 3 6 3 2 2" xfId="7798" xr:uid="{00000000-0005-0000-0000-0000931A0000}"/>
    <cellStyle name="Normal 5 3 6 3 2 2 2" xfId="17080" xr:uid="{8372A7AE-1CAC-44E0-A04C-26BB97A9FBCE}"/>
    <cellStyle name="Normal 5 3 6 3 2 3" xfId="12863" xr:uid="{26186DF3-2051-46E8-96FD-E98F636DD69F}"/>
    <cellStyle name="Normal 5 3 6 3 3" xfId="5653" xr:uid="{00000000-0005-0000-0000-0000941A0000}"/>
    <cellStyle name="Normal 5 3 6 3 3 2" xfId="14935" xr:uid="{446E9044-4296-4ABB-9AAD-B7F9D83AEDEA}"/>
    <cellStyle name="Normal 5 3 6 3 4" xfId="10718" xr:uid="{1BABEC94-565D-49BD-981D-F3F8C1ABD4C3}"/>
    <cellStyle name="Normal 5 3 6 4" xfId="1759" xr:uid="{00000000-0005-0000-0000-0000951A0000}"/>
    <cellStyle name="Normal 5 3 6 4 2" xfId="3989" xr:uid="{00000000-0005-0000-0000-0000961A0000}"/>
    <cellStyle name="Normal 5 3 6 4 2 2" xfId="8211" xr:uid="{00000000-0005-0000-0000-0000971A0000}"/>
    <cellStyle name="Normal 5 3 6 4 2 2 2" xfId="17493" xr:uid="{562B4F36-1D75-4AD4-85E5-A641C7715DF5}"/>
    <cellStyle name="Normal 5 3 6 4 2 3" xfId="13276" xr:uid="{A5DC928F-68A8-4B6E-91F3-E117B4763128}"/>
    <cellStyle name="Normal 5 3 6 4 3" xfId="6066" xr:uid="{00000000-0005-0000-0000-0000981A0000}"/>
    <cellStyle name="Normal 5 3 6 4 3 2" xfId="15348" xr:uid="{63456398-EC41-4678-806E-8C3E1092DE30}"/>
    <cellStyle name="Normal 5 3 6 4 4" xfId="11131" xr:uid="{7307C7C9-DEBB-4E3B-AABC-ED2DF3AF872B}"/>
    <cellStyle name="Normal 5 3 6 5" xfId="2173" xr:uid="{00000000-0005-0000-0000-0000991A0000}"/>
    <cellStyle name="Normal 5 3 6 5 2" xfId="4402" xr:uid="{00000000-0005-0000-0000-00009A1A0000}"/>
    <cellStyle name="Normal 5 3 6 5 2 2" xfId="8624" xr:uid="{00000000-0005-0000-0000-00009B1A0000}"/>
    <cellStyle name="Normal 5 3 6 5 2 2 2" xfId="17906" xr:uid="{81E08CC5-7642-4F56-9AED-A7A6523D591E}"/>
    <cellStyle name="Normal 5 3 6 5 2 3" xfId="13689" xr:uid="{414A4055-90BD-43BD-876E-C339CBB8E437}"/>
    <cellStyle name="Normal 5 3 6 5 3" xfId="6479" xr:uid="{00000000-0005-0000-0000-00009C1A0000}"/>
    <cellStyle name="Normal 5 3 6 5 3 2" xfId="15761" xr:uid="{917105AD-72D5-4EE0-BAF2-B4E646399FD4}"/>
    <cellStyle name="Normal 5 3 6 5 4" xfId="11544" xr:uid="{14AD8EE3-E9A6-45EB-8C30-A44B13D8FAF7}"/>
    <cellStyle name="Normal 5 3 6 6" xfId="2609" xr:uid="{00000000-0005-0000-0000-00009D1A0000}"/>
    <cellStyle name="Normal 5 3 6 6 2" xfId="6892" xr:uid="{00000000-0005-0000-0000-00009E1A0000}"/>
    <cellStyle name="Normal 5 3 6 6 2 2" xfId="16174" xr:uid="{F55D5DC1-C7F5-469F-97B9-8B027FFC2B17}"/>
    <cellStyle name="Normal 5 3 6 6 3" xfId="11957" xr:uid="{A0D0B66F-CBDA-40FA-8B23-6A7EC87181C8}"/>
    <cellStyle name="Normal 5 3 6 7" xfId="4827" xr:uid="{00000000-0005-0000-0000-00009F1A0000}"/>
    <cellStyle name="Normal 5 3 6 7 2" xfId="14109" xr:uid="{62F05F4F-5C47-4CD6-8865-56BC776BD877}"/>
    <cellStyle name="Normal 5 3 6 8" xfId="9892" xr:uid="{2A4D325E-E6FA-4663-B192-A1161883A2AE}"/>
    <cellStyle name="Normal 5 3 6 9" xfId="9058" xr:uid="{88E26D32-474E-45D8-9969-3CE7FA629B14}"/>
    <cellStyle name="Normal 5 3 7" xfId="913" xr:uid="{00000000-0005-0000-0000-0000A01A0000}"/>
    <cellStyle name="Normal 5 3 7 2" xfId="3148" xr:uid="{00000000-0005-0000-0000-0000A11A0000}"/>
    <cellStyle name="Normal 5 3 7 2 2" xfId="7370" xr:uid="{00000000-0005-0000-0000-0000A21A0000}"/>
    <cellStyle name="Normal 5 3 7 2 2 2" xfId="16652" xr:uid="{DC22F2DB-EC4D-4380-B747-6219C4F83137}"/>
    <cellStyle name="Normal 5 3 7 2 3" xfId="12435" xr:uid="{6F1AF434-9B64-4339-AD80-303E7DE604C7}"/>
    <cellStyle name="Normal 5 3 7 3" xfId="5225" xr:uid="{00000000-0005-0000-0000-0000A31A0000}"/>
    <cellStyle name="Normal 5 3 7 3 2" xfId="14507" xr:uid="{B2F04F08-45C4-43E6-8C2A-10F13E907D8E}"/>
    <cellStyle name="Normal 5 3 7 4" xfId="10290" xr:uid="{06300BE4-1E4C-412D-B8F8-BBE46D4CFC4D}"/>
    <cellStyle name="Normal 5 3 7 5" xfId="9462" xr:uid="{01D6D955-E30F-4CB1-ABC8-46D0BFD0D1E9}"/>
    <cellStyle name="Normal 5 3 8" xfId="1331" xr:uid="{00000000-0005-0000-0000-0000A41A0000}"/>
    <cellStyle name="Normal 5 3 8 2" xfId="3561" xr:uid="{00000000-0005-0000-0000-0000A51A0000}"/>
    <cellStyle name="Normal 5 3 8 2 2" xfId="7783" xr:uid="{00000000-0005-0000-0000-0000A61A0000}"/>
    <cellStyle name="Normal 5 3 8 2 2 2" xfId="17065" xr:uid="{B87F08D6-3636-45EB-958F-5A111FD32BC3}"/>
    <cellStyle name="Normal 5 3 8 2 3" xfId="12848" xr:uid="{F1A66A86-E0E0-4E7F-ACE9-5697B3B3A197}"/>
    <cellStyle name="Normal 5 3 8 3" xfId="5638" xr:uid="{00000000-0005-0000-0000-0000A71A0000}"/>
    <cellStyle name="Normal 5 3 8 3 2" xfId="14920" xr:uid="{0892FDBD-B859-4FB6-AF2A-069E09ECB23C}"/>
    <cellStyle name="Normal 5 3 8 4" xfId="10703" xr:uid="{ADBC8562-3D76-4342-9419-A96E424531D2}"/>
    <cellStyle name="Normal 5 3 9" xfId="1744" xr:uid="{00000000-0005-0000-0000-0000A81A0000}"/>
    <cellStyle name="Normal 5 3 9 2" xfId="3974" xr:uid="{00000000-0005-0000-0000-0000A91A0000}"/>
    <cellStyle name="Normal 5 3 9 2 2" xfId="8196" xr:uid="{00000000-0005-0000-0000-0000AA1A0000}"/>
    <cellStyle name="Normal 5 3 9 2 2 2" xfId="17478" xr:uid="{4B8CB820-081E-4E80-BC4B-F79A335472E6}"/>
    <cellStyle name="Normal 5 3 9 2 3" xfId="13261" xr:uid="{AE7CF5BB-51B6-461F-9D2B-59E6C45F565E}"/>
    <cellStyle name="Normal 5 3 9 3" xfId="6051" xr:uid="{00000000-0005-0000-0000-0000AB1A0000}"/>
    <cellStyle name="Normal 5 3 9 3 2" xfId="15333" xr:uid="{772E566F-233F-4B91-84C0-151B59A66957}"/>
    <cellStyle name="Normal 5 3 9 4" xfId="11116" xr:uid="{3385ED47-532A-4517-920C-0C7C8C0E72ED}"/>
    <cellStyle name="Normal 5 4" xfId="456" xr:uid="{00000000-0005-0000-0000-0000AC1A0000}"/>
    <cellStyle name="Normal 5 4 10" xfId="4828" xr:uid="{00000000-0005-0000-0000-0000AD1A0000}"/>
    <cellStyle name="Normal 5 4 10 2" xfId="14110" xr:uid="{7E8ABD78-09D9-4E1B-9059-1F5C50E0DB2B}"/>
    <cellStyle name="Normal 5 4 11" xfId="9893" xr:uid="{D061D3A2-5D4B-46B4-9F81-FB4BA448BFCF}"/>
    <cellStyle name="Normal 5 4 12" xfId="9059" xr:uid="{6191585E-D2F2-4C95-8455-88C08442D34D}"/>
    <cellStyle name="Normal 5 4 2" xfId="457" xr:uid="{00000000-0005-0000-0000-0000AE1A0000}"/>
    <cellStyle name="Normal 5 4 2 10" xfId="9894" xr:uid="{BD006D39-9EE8-4A7C-901F-4207535EA81C}"/>
    <cellStyle name="Normal 5 4 2 11" xfId="9060" xr:uid="{C81D9B3A-B634-4B89-AA4C-397C748107EB}"/>
    <cellStyle name="Normal 5 4 2 2" xfId="458" xr:uid="{00000000-0005-0000-0000-0000AF1A0000}"/>
    <cellStyle name="Normal 5 4 2 2 10" xfId="9061" xr:uid="{C8E5709B-D5AC-466A-B7A5-8654CFE009D4}"/>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671" xr:uid="{F13527F4-D833-4865-AED0-7F76CDAD9AEF}"/>
    <cellStyle name="Normal 5 4 2 2 2 2 2 3" xfId="12454" xr:uid="{51CB773E-D815-4EA0-B6FD-BCC2A1D3439D}"/>
    <cellStyle name="Normal 5 4 2 2 2 2 3" xfId="5244" xr:uid="{00000000-0005-0000-0000-0000B41A0000}"/>
    <cellStyle name="Normal 5 4 2 2 2 2 3 2" xfId="14526" xr:uid="{7A8E1685-D8D9-4174-AC37-FAF0CF7713E8}"/>
    <cellStyle name="Normal 5 4 2 2 2 2 4" xfId="10309" xr:uid="{C9759F32-4F9B-4EE5-A473-D14F066FE46C}"/>
    <cellStyle name="Normal 5 4 2 2 2 2 5" xfId="9481" xr:uid="{14D47540-BA15-4443-BCBA-7EA6B273212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084" xr:uid="{B8463CDE-7807-4B67-817E-5E95EE847D8A}"/>
    <cellStyle name="Normal 5 4 2 2 2 3 2 3" xfId="12867" xr:uid="{A8350B6A-938B-4F29-9033-649E19D2EA58}"/>
    <cellStyle name="Normal 5 4 2 2 2 3 3" xfId="5657" xr:uid="{00000000-0005-0000-0000-0000B81A0000}"/>
    <cellStyle name="Normal 5 4 2 2 2 3 3 2" xfId="14939" xr:uid="{BF1BBA09-E4FF-476D-88F5-BEDF5E35C7DE}"/>
    <cellStyle name="Normal 5 4 2 2 2 3 4" xfId="10722" xr:uid="{FAB41E8B-4937-41D6-B36E-B7C0B6BE6CDF}"/>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497" xr:uid="{5A88C9D1-A51E-4AF3-A015-05B23D5DB5ED}"/>
    <cellStyle name="Normal 5 4 2 2 2 4 2 3" xfId="13280" xr:uid="{F38B2704-83CB-4BF8-8BF6-8C21D65C55FF}"/>
    <cellStyle name="Normal 5 4 2 2 2 4 3" xfId="6070" xr:uid="{00000000-0005-0000-0000-0000BC1A0000}"/>
    <cellStyle name="Normal 5 4 2 2 2 4 3 2" xfId="15352" xr:uid="{F895AC9A-25BE-4776-918B-16C9044CF420}"/>
    <cellStyle name="Normal 5 4 2 2 2 4 4" xfId="11135" xr:uid="{DA7727BF-3364-4A18-9879-383938E416A3}"/>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10" xr:uid="{285B79C9-90A5-4605-AEC9-55D10884CD4D}"/>
    <cellStyle name="Normal 5 4 2 2 2 5 2 3" xfId="13693" xr:uid="{FDA5ABE9-BD4A-48C2-8322-ACC6077E3A14}"/>
    <cellStyle name="Normal 5 4 2 2 2 5 3" xfId="6483" xr:uid="{00000000-0005-0000-0000-0000C01A0000}"/>
    <cellStyle name="Normal 5 4 2 2 2 5 3 2" xfId="15765" xr:uid="{77B2A222-B35C-4229-818B-292A601AB385}"/>
    <cellStyle name="Normal 5 4 2 2 2 5 4" xfId="11548" xr:uid="{737C329D-7A8A-4228-B6E1-219A9BA8D1BE}"/>
    <cellStyle name="Normal 5 4 2 2 2 6" xfId="2613" xr:uid="{00000000-0005-0000-0000-0000C11A0000}"/>
    <cellStyle name="Normal 5 4 2 2 2 6 2" xfId="6896" xr:uid="{00000000-0005-0000-0000-0000C21A0000}"/>
    <cellStyle name="Normal 5 4 2 2 2 6 2 2" xfId="16178" xr:uid="{553CD7DC-3FCE-40DD-B548-24A1BC1C36C0}"/>
    <cellStyle name="Normal 5 4 2 2 2 6 3" xfId="11961" xr:uid="{3DEB6210-374F-4591-8A7E-CCB4CE869BC7}"/>
    <cellStyle name="Normal 5 4 2 2 2 7" xfId="4831" xr:uid="{00000000-0005-0000-0000-0000C31A0000}"/>
    <cellStyle name="Normal 5 4 2 2 2 7 2" xfId="14113" xr:uid="{E473201C-E8CD-4EFC-9858-FDE5606D3F37}"/>
    <cellStyle name="Normal 5 4 2 2 2 8" xfId="9896" xr:uid="{46994EFC-D673-437B-92F1-08DE0C6A087A}"/>
    <cellStyle name="Normal 5 4 2 2 2 9" xfId="9062" xr:uid="{4FDADF56-3BEE-4C82-B564-17443B42BC11}"/>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670" xr:uid="{82F62BA8-CF65-4219-BB46-CE9A52E57BA5}"/>
    <cellStyle name="Normal 5 4 2 2 3 2 3" xfId="12453" xr:uid="{44D38297-F4CF-481A-8519-2E91F52514EB}"/>
    <cellStyle name="Normal 5 4 2 2 3 3" xfId="5243" xr:uid="{00000000-0005-0000-0000-0000C71A0000}"/>
    <cellStyle name="Normal 5 4 2 2 3 3 2" xfId="14525" xr:uid="{38B6BBAC-1E6F-4C1C-91A3-A55D75727E4D}"/>
    <cellStyle name="Normal 5 4 2 2 3 4" xfId="10308" xr:uid="{85BD47B1-D041-420C-A039-2BD3B6D2E7E4}"/>
    <cellStyle name="Normal 5 4 2 2 3 5" xfId="9480" xr:uid="{9D921262-829A-4E8F-891F-AC7BD9CE7B2C}"/>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083" xr:uid="{A4EB3776-C70B-4962-9015-11C653A33A06}"/>
    <cellStyle name="Normal 5 4 2 2 4 2 3" xfId="12866" xr:uid="{9D4C4BA9-8539-4D40-AF91-100B22D287BA}"/>
    <cellStyle name="Normal 5 4 2 2 4 3" xfId="5656" xr:uid="{00000000-0005-0000-0000-0000CB1A0000}"/>
    <cellStyle name="Normal 5 4 2 2 4 3 2" xfId="14938" xr:uid="{2F13D19C-162B-433C-91B4-65C6F5334986}"/>
    <cellStyle name="Normal 5 4 2 2 4 4" xfId="10721" xr:uid="{E4C9E3B4-75C7-4F9F-9396-42ECFA70336F}"/>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496" xr:uid="{4C64808A-C291-44AD-A0FC-1FBA3D406038}"/>
    <cellStyle name="Normal 5 4 2 2 5 2 3" xfId="13279" xr:uid="{505E80AF-ABE5-4679-8830-9C5A7BC6C7F9}"/>
    <cellStyle name="Normal 5 4 2 2 5 3" xfId="6069" xr:uid="{00000000-0005-0000-0000-0000CF1A0000}"/>
    <cellStyle name="Normal 5 4 2 2 5 3 2" xfId="15351" xr:uid="{F6F6396F-A788-4747-9E42-6FA15D648619}"/>
    <cellStyle name="Normal 5 4 2 2 5 4" xfId="11134" xr:uid="{0302CAFD-74F3-445A-AE16-1201E09563B9}"/>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09" xr:uid="{AC3D4F97-62F0-47FD-B4ED-253DF2DC8702}"/>
    <cellStyle name="Normal 5 4 2 2 6 2 3" xfId="13692" xr:uid="{C2F7D440-FDD1-4BCB-94A1-89E7A1564C8F}"/>
    <cellStyle name="Normal 5 4 2 2 6 3" xfId="6482" xr:uid="{00000000-0005-0000-0000-0000D31A0000}"/>
    <cellStyle name="Normal 5 4 2 2 6 3 2" xfId="15764" xr:uid="{29B2BE8D-3919-43DA-AB08-1E5F6BB54503}"/>
    <cellStyle name="Normal 5 4 2 2 6 4" xfId="11547" xr:uid="{B469A55E-21EA-4DDA-ADBB-20D92DE5D910}"/>
    <cellStyle name="Normal 5 4 2 2 7" xfId="2612" xr:uid="{00000000-0005-0000-0000-0000D41A0000}"/>
    <cellStyle name="Normal 5 4 2 2 7 2" xfId="6895" xr:uid="{00000000-0005-0000-0000-0000D51A0000}"/>
    <cellStyle name="Normal 5 4 2 2 7 2 2" xfId="16177" xr:uid="{91AE8AB4-C630-40EB-8B34-6C1C993BCA66}"/>
    <cellStyle name="Normal 5 4 2 2 7 3" xfId="11960" xr:uid="{FAA4379D-469A-44C6-A4AB-D65013727DD7}"/>
    <cellStyle name="Normal 5 4 2 2 8" xfId="4830" xr:uid="{00000000-0005-0000-0000-0000D61A0000}"/>
    <cellStyle name="Normal 5 4 2 2 8 2" xfId="14112" xr:uid="{854ABE0B-D093-4C99-A658-045FA1472DBF}"/>
    <cellStyle name="Normal 5 4 2 2 9" xfId="9895" xr:uid="{08D67B04-0436-423C-BBEC-FE8C7C34DB25}"/>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672" xr:uid="{C4A1183B-AF53-4ED5-8998-FF630729ADAA}"/>
    <cellStyle name="Normal 5 4 2 3 2 2 3" xfId="12455" xr:uid="{2590BC34-2D76-4BDC-8BDD-E16648F4BDDA}"/>
    <cellStyle name="Normal 5 4 2 3 2 3" xfId="5245" xr:uid="{00000000-0005-0000-0000-0000DB1A0000}"/>
    <cellStyle name="Normal 5 4 2 3 2 3 2" xfId="14527" xr:uid="{A24C2409-BBBA-4F48-853D-7308D2EA40DC}"/>
    <cellStyle name="Normal 5 4 2 3 2 4" xfId="10310" xr:uid="{80C63345-A0EE-4490-A98A-235415DBF36B}"/>
    <cellStyle name="Normal 5 4 2 3 2 5" xfId="9482" xr:uid="{2D6A17FF-64F0-4803-A88A-14D68212A3A5}"/>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085" xr:uid="{9B655B63-7E52-4B75-A977-111D6AFEC862}"/>
    <cellStyle name="Normal 5 4 2 3 3 2 3" xfId="12868" xr:uid="{DF2BD422-6E56-497F-8DC1-2F41A76C5616}"/>
    <cellStyle name="Normal 5 4 2 3 3 3" xfId="5658" xr:uid="{00000000-0005-0000-0000-0000DF1A0000}"/>
    <cellStyle name="Normal 5 4 2 3 3 3 2" xfId="14940" xr:uid="{1F353BD5-C18A-4A87-A878-F6D7A96D3202}"/>
    <cellStyle name="Normal 5 4 2 3 3 4" xfId="10723" xr:uid="{B42760DB-F9E7-4279-A178-7B55C4BD2768}"/>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498" xr:uid="{0922D0C7-286B-4EC2-B484-2A367675BFF6}"/>
    <cellStyle name="Normal 5 4 2 3 4 2 3" xfId="13281" xr:uid="{EB46E489-A8AC-4477-90D0-84E5D2E2A835}"/>
    <cellStyle name="Normal 5 4 2 3 4 3" xfId="6071" xr:uid="{00000000-0005-0000-0000-0000E31A0000}"/>
    <cellStyle name="Normal 5 4 2 3 4 3 2" xfId="15353" xr:uid="{2BE90BE2-C5E3-4CF1-8B6F-57452DC44D6A}"/>
    <cellStyle name="Normal 5 4 2 3 4 4" xfId="11136" xr:uid="{F4CDB96C-A21F-491D-8C00-0CB6EFBA7CCE}"/>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11" xr:uid="{FE7D4530-2C49-43CB-9B82-52961FFE318D}"/>
    <cellStyle name="Normal 5 4 2 3 5 2 3" xfId="13694" xr:uid="{09AFB815-3A44-4500-8F64-4258F9C89D99}"/>
    <cellStyle name="Normal 5 4 2 3 5 3" xfId="6484" xr:uid="{00000000-0005-0000-0000-0000E71A0000}"/>
    <cellStyle name="Normal 5 4 2 3 5 3 2" xfId="15766" xr:uid="{6ADC7A35-2722-4FB9-92A4-09956A8E132B}"/>
    <cellStyle name="Normal 5 4 2 3 5 4" xfId="11549" xr:uid="{66F8FDBB-A3B1-4C66-8708-60F174AF787E}"/>
    <cellStyle name="Normal 5 4 2 3 6" xfId="2614" xr:uid="{00000000-0005-0000-0000-0000E81A0000}"/>
    <cellStyle name="Normal 5 4 2 3 6 2" xfId="6897" xr:uid="{00000000-0005-0000-0000-0000E91A0000}"/>
    <cellStyle name="Normal 5 4 2 3 6 2 2" xfId="16179" xr:uid="{B069B050-59DA-45FC-B6F0-C1CF46DE9082}"/>
    <cellStyle name="Normal 5 4 2 3 6 3" xfId="11962" xr:uid="{C68668FA-C03B-43A7-86A6-163074FE7849}"/>
    <cellStyle name="Normal 5 4 2 3 7" xfId="4832" xr:uid="{00000000-0005-0000-0000-0000EA1A0000}"/>
    <cellStyle name="Normal 5 4 2 3 7 2" xfId="14114" xr:uid="{4D0E8820-9238-4E0E-8DFE-FA679C2E80FD}"/>
    <cellStyle name="Normal 5 4 2 3 8" xfId="9897" xr:uid="{E6E58DF8-B9B2-48FD-9837-F811724BB700}"/>
    <cellStyle name="Normal 5 4 2 3 9" xfId="9063" xr:uid="{5ADEA7B9-AC9D-4FD8-BBDB-0C7ED6E9F4EA}"/>
    <cellStyle name="Normal 5 4 2 4" xfId="931" xr:uid="{00000000-0005-0000-0000-0000EB1A0000}"/>
    <cellStyle name="Normal 5 4 2 4 2" xfId="3165" xr:uid="{00000000-0005-0000-0000-0000EC1A0000}"/>
    <cellStyle name="Normal 5 4 2 4 2 2" xfId="7387" xr:uid="{00000000-0005-0000-0000-0000ED1A0000}"/>
    <cellStyle name="Normal 5 4 2 4 2 2 2" xfId="16669" xr:uid="{C40AC7FF-47D9-4A32-88C8-08647AC923AB}"/>
    <cellStyle name="Normal 5 4 2 4 2 3" xfId="12452" xr:uid="{0F7F3543-8CCB-497C-8211-A21459CB3B36}"/>
    <cellStyle name="Normal 5 4 2 4 3" xfId="5242" xr:uid="{00000000-0005-0000-0000-0000EE1A0000}"/>
    <cellStyle name="Normal 5 4 2 4 3 2" xfId="14524" xr:uid="{96527C1D-5F3F-445D-9655-4CEA7BB15805}"/>
    <cellStyle name="Normal 5 4 2 4 4" xfId="10307" xr:uid="{D96E9D85-D3D4-44E6-9CBE-45B313B87C5D}"/>
    <cellStyle name="Normal 5 4 2 4 5" xfId="9479" xr:uid="{6C56EF85-E78F-4AA5-B873-289D11A73372}"/>
    <cellStyle name="Normal 5 4 2 5" xfId="1348" xr:uid="{00000000-0005-0000-0000-0000EF1A0000}"/>
    <cellStyle name="Normal 5 4 2 5 2" xfId="3578" xr:uid="{00000000-0005-0000-0000-0000F01A0000}"/>
    <cellStyle name="Normal 5 4 2 5 2 2" xfId="7800" xr:uid="{00000000-0005-0000-0000-0000F11A0000}"/>
    <cellStyle name="Normal 5 4 2 5 2 2 2" xfId="17082" xr:uid="{33BBA6B7-CDEF-49A0-823C-E85A2384B152}"/>
    <cellStyle name="Normal 5 4 2 5 2 3" xfId="12865" xr:uid="{12B7D427-D517-4115-8365-3E1A88090AE3}"/>
    <cellStyle name="Normal 5 4 2 5 3" xfId="5655" xr:uid="{00000000-0005-0000-0000-0000F21A0000}"/>
    <cellStyle name="Normal 5 4 2 5 3 2" xfId="14937" xr:uid="{780AB8F2-5F19-41CC-9A7F-5CB7B5BDB69D}"/>
    <cellStyle name="Normal 5 4 2 5 4" xfId="10720" xr:uid="{BB90A742-7BCC-453A-A495-17811D53D4FC}"/>
    <cellStyle name="Normal 5 4 2 6" xfId="1761" xr:uid="{00000000-0005-0000-0000-0000F31A0000}"/>
    <cellStyle name="Normal 5 4 2 6 2" xfId="3991" xr:uid="{00000000-0005-0000-0000-0000F41A0000}"/>
    <cellStyle name="Normal 5 4 2 6 2 2" xfId="8213" xr:uid="{00000000-0005-0000-0000-0000F51A0000}"/>
    <cellStyle name="Normal 5 4 2 6 2 2 2" xfId="17495" xr:uid="{1F29591B-4625-4B4A-9F9E-E0EB15122EB8}"/>
    <cellStyle name="Normal 5 4 2 6 2 3" xfId="13278" xr:uid="{0D7E2FE4-EB88-459D-9DD0-9EEC2E3F11B1}"/>
    <cellStyle name="Normal 5 4 2 6 3" xfId="6068" xr:uid="{00000000-0005-0000-0000-0000F61A0000}"/>
    <cellStyle name="Normal 5 4 2 6 3 2" xfId="15350" xr:uid="{C72FF0C2-038F-4B79-8864-C720948A3742}"/>
    <cellStyle name="Normal 5 4 2 6 4" xfId="11133" xr:uid="{EA289562-1A15-4B52-8602-34D6EE9A72B5}"/>
    <cellStyle name="Normal 5 4 2 7" xfId="2175" xr:uid="{00000000-0005-0000-0000-0000F71A0000}"/>
    <cellStyle name="Normal 5 4 2 7 2" xfId="4404" xr:uid="{00000000-0005-0000-0000-0000F81A0000}"/>
    <cellStyle name="Normal 5 4 2 7 2 2" xfId="8626" xr:uid="{00000000-0005-0000-0000-0000F91A0000}"/>
    <cellStyle name="Normal 5 4 2 7 2 2 2" xfId="17908" xr:uid="{2C28B8FE-B67D-4EDE-A613-C4678BE8A27B}"/>
    <cellStyle name="Normal 5 4 2 7 2 3" xfId="13691" xr:uid="{0A21CFE0-6088-4746-B713-3497E54B4430}"/>
    <cellStyle name="Normal 5 4 2 7 3" xfId="6481" xr:uid="{00000000-0005-0000-0000-0000FA1A0000}"/>
    <cellStyle name="Normal 5 4 2 7 3 2" xfId="15763" xr:uid="{02466E44-9B9A-4119-A00E-45839CFA3ED9}"/>
    <cellStyle name="Normal 5 4 2 7 4" xfId="11546" xr:uid="{C5627F44-463A-4855-BE0A-9E1F9FA27C55}"/>
    <cellStyle name="Normal 5 4 2 8" xfId="2611" xr:uid="{00000000-0005-0000-0000-0000FB1A0000}"/>
    <cellStyle name="Normal 5 4 2 8 2" xfId="6894" xr:uid="{00000000-0005-0000-0000-0000FC1A0000}"/>
    <cellStyle name="Normal 5 4 2 8 2 2" xfId="16176" xr:uid="{94137855-9A9B-4DDC-B567-AD7981CE092B}"/>
    <cellStyle name="Normal 5 4 2 8 3" xfId="11959" xr:uid="{EE7DDEBB-34FE-4F1E-A423-7A694A5BC12C}"/>
    <cellStyle name="Normal 5 4 2 9" xfId="4829" xr:uid="{00000000-0005-0000-0000-0000FD1A0000}"/>
    <cellStyle name="Normal 5 4 2 9 2" xfId="14111" xr:uid="{049A9C58-4B0F-4F6E-85CA-349404B647E8}"/>
    <cellStyle name="Normal 5 4 3" xfId="461" xr:uid="{00000000-0005-0000-0000-0000FE1A0000}"/>
    <cellStyle name="Normal 5 4 3 10" xfId="9064" xr:uid="{07E2A6E1-2D86-44EE-9E9B-8576D355F13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674" xr:uid="{E931A8B6-9671-4180-A371-80F66380A9C3}"/>
    <cellStyle name="Normal 5 4 3 2 2 2 3" xfId="12457" xr:uid="{F58ACE8D-ADF2-4CC2-9DF8-3B71065347BD}"/>
    <cellStyle name="Normal 5 4 3 2 2 3" xfId="5247" xr:uid="{00000000-0005-0000-0000-0000031B0000}"/>
    <cellStyle name="Normal 5 4 3 2 2 3 2" xfId="14529" xr:uid="{8564BEBC-46FE-4250-B5B7-5794A6A81D28}"/>
    <cellStyle name="Normal 5 4 3 2 2 4" xfId="10312" xr:uid="{62390864-7A66-4B80-ADFE-D8B4337E1EBA}"/>
    <cellStyle name="Normal 5 4 3 2 2 5" xfId="9484" xr:uid="{0A18029F-07FE-4EF5-A2DB-4BABA0277EA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087" xr:uid="{280FF9D7-14E9-4422-BDAD-60E02C355DF5}"/>
    <cellStyle name="Normal 5 4 3 2 3 2 3" xfId="12870" xr:uid="{BD642726-0E23-41C9-8778-44EA03E26325}"/>
    <cellStyle name="Normal 5 4 3 2 3 3" xfId="5660" xr:uid="{00000000-0005-0000-0000-0000071B0000}"/>
    <cellStyle name="Normal 5 4 3 2 3 3 2" xfId="14942" xr:uid="{E3AB6AE5-D4B0-43C0-A200-A573888D1E8A}"/>
    <cellStyle name="Normal 5 4 3 2 3 4" xfId="10725" xr:uid="{B685C881-5FDC-45DC-A30F-C7F10ADE8A70}"/>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00" xr:uid="{4CF79CD5-CC35-4A5D-838F-C92EEC000EB6}"/>
    <cellStyle name="Normal 5 4 3 2 4 2 3" xfId="13283" xr:uid="{3429F9C9-6683-4CB8-B871-CB1D5C443F92}"/>
    <cellStyle name="Normal 5 4 3 2 4 3" xfId="6073" xr:uid="{00000000-0005-0000-0000-00000B1B0000}"/>
    <cellStyle name="Normal 5 4 3 2 4 3 2" xfId="15355" xr:uid="{CD600C04-DF17-4FF0-A019-FA944D3E8432}"/>
    <cellStyle name="Normal 5 4 3 2 4 4" xfId="11138" xr:uid="{9788D1A9-80C2-4E6F-AC74-B94370DF382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13" xr:uid="{58D097BC-B67C-4BF2-BC85-BBE4EDDCA69A}"/>
    <cellStyle name="Normal 5 4 3 2 5 2 3" xfId="13696" xr:uid="{F692FF73-4D66-40D9-B3A1-213061C2BB0F}"/>
    <cellStyle name="Normal 5 4 3 2 5 3" xfId="6486" xr:uid="{00000000-0005-0000-0000-00000F1B0000}"/>
    <cellStyle name="Normal 5 4 3 2 5 3 2" xfId="15768" xr:uid="{43B7FD2E-93E9-4289-AE8D-CF9E8DB22D71}"/>
    <cellStyle name="Normal 5 4 3 2 5 4" xfId="11551" xr:uid="{46C60D74-ED7D-4205-9FDA-05C0DCE171E5}"/>
    <cellStyle name="Normal 5 4 3 2 6" xfId="2616" xr:uid="{00000000-0005-0000-0000-0000101B0000}"/>
    <cellStyle name="Normal 5 4 3 2 6 2" xfId="6899" xr:uid="{00000000-0005-0000-0000-0000111B0000}"/>
    <cellStyle name="Normal 5 4 3 2 6 2 2" xfId="16181" xr:uid="{1B518E51-3ED8-4A83-A6A2-2F9DB86859A4}"/>
    <cellStyle name="Normal 5 4 3 2 6 3" xfId="11964" xr:uid="{373E5A28-2D47-4083-866C-142D668DEE9E}"/>
    <cellStyle name="Normal 5 4 3 2 7" xfId="4834" xr:uid="{00000000-0005-0000-0000-0000121B0000}"/>
    <cellStyle name="Normal 5 4 3 2 7 2" xfId="14116" xr:uid="{204B0484-8811-4D2A-A0E6-4BE9BA5D4837}"/>
    <cellStyle name="Normal 5 4 3 2 8" xfId="9899" xr:uid="{911C2348-0051-4DA7-A45D-7F1C9729873E}"/>
    <cellStyle name="Normal 5 4 3 2 9" xfId="9065" xr:uid="{6D71FC5B-F116-49A6-81E7-A7D715389A8D}"/>
    <cellStyle name="Normal 5 4 3 3" xfId="935" xr:uid="{00000000-0005-0000-0000-0000131B0000}"/>
    <cellStyle name="Normal 5 4 3 3 2" xfId="3169" xr:uid="{00000000-0005-0000-0000-0000141B0000}"/>
    <cellStyle name="Normal 5 4 3 3 2 2" xfId="7391" xr:uid="{00000000-0005-0000-0000-0000151B0000}"/>
    <cellStyle name="Normal 5 4 3 3 2 2 2" xfId="16673" xr:uid="{B316B894-0F69-4CA4-A449-E6EF9C8A8C89}"/>
    <cellStyle name="Normal 5 4 3 3 2 3" xfId="12456" xr:uid="{3D68EED9-1513-49BA-8AFE-3F7EA67CC647}"/>
    <cellStyle name="Normal 5 4 3 3 3" xfId="5246" xr:uid="{00000000-0005-0000-0000-0000161B0000}"/>
    <cellStyle name="Normal 5 4 3 3 3 2" xfId="14528" xr:uid="{B34D034D-FCC4-4505-95C7-55510AF32B14}"/>
    <cellStyle name="Normal 5 4 3 3 4" xfId="10311" xr:uid="{0FE84254-86F0-4632-BC28-AFCA9C642079}"/>
    <cellStyle name="Normal 5 4 3 3 5" xfId="9483" xr:uid="{276380B9-27C8-4969-BFC8-6BE25712298D}"/>
    <cellStyle name="Normal 5 4 3 4" xfId="1352" xr:uid="{00000000-0005-0000-0000-0000171B0000}"/>
    <cellStyle name="Normal 5 4 3 4 2" xfId="3582" xr:uid="{00000000-0005-0000-0000-0000181B0000}"/>
    <cellStyle name="Normal 5 4 3 4 2 2" xfId="7804" xr:uid="{00000000-0005-0000-0000-0000191B0000}"/>
    <cellStyle name="Normal 5 4 3 4 2 2 2" xfId="17086" xr:uid="{DAB2D2FA-9ED0-4A34-BB3E-B286FCFC63B7}"/>
    <cellStyle name="Normal 5 4 3 4 2 3" xfId="12869" xr:uid="{F35259EB-CA14-4889-A29E-32F70B994241}"/>
    <cellStyle name="Normal 5 4 3 4 3" xfId="5659" xr:uid="{00000000-0005-0000-0000-00001A1B0000}"/>
    <cellStyle name="Normal 5 4 3 4 3 2" xfId="14941" xr:uid="{1B65457F-16CD-40A8-970D-B4AD84392B92}"/>
    <cellStyle name="Normal 5 4 3 4 4" xfId="10724" xr:uid="{BF5AEFE4-555A-4955-8D9F-1EB7E26E2C1F}"/>
    <cellStyle name="Normal 5 4 3 5" xfId="1765" xr:uid="{00000000-0005-0000-0000-00001B1B0000}"/>
    <cellStyle name="Normal 5 4 3 5 2" xfId="3995" xr:uid="{00000000-0005-0000-0000-00001C1B0000}"/>
    <cellStyle name="Normal 5 4 3 5 2 2" xfId="8217" xr:uid="{00000000-0005-0000-0000-00001D1B0000}"/>
    <cellStyle name="Normal 5 4 3 5 2 2 2" xfId="17499" xr:uid="{CAEBFC9A-AE4E-477C-9DE0-B9E0D4C3EE9F}"/>
    <cellStyle name="Normal 5 4 3 5 2 3" xfId="13282" xr:uid="{CD5A08D9-1759-4FCF-8435-2ECC216F274E}"/>
    <cellStyle name="Normal 5 4 3 5 3" xfId="6072" xr:uid="{00000000-0005-0000-0000-00001E1B0000}"/>
    <cellStyle name="Normal 5 4 3 5 3 2" xfId="15354" xr:uid="{30033E3F-D93A-43BE-90BA-FF6058FBC598}"/>
    <cellStyle name="Normal 5 4 3 5 4" xfId="11137" xr:uid="{C5F75723-6351-4D6B-A80F-9E12F2E85A5F}"/>
    <cellStyle name="Normal 5 4 3 6" xfId="2179" xr:uid="{00000000-0005-0000-0000-00001F1B0000}"/>
    <cellStyle name="Normal 5 4 3 6 2" xfId="4408" xr:uid="{00000000-0005-0000-0000-0000201B0000}"/>
    <cellStyle name="Normal 5 4 3 6 2 2" xfId="8630" xr:uid="{00000000-0005-0000-0000-0000211B0000}"/>
    <cellStyle name="Normal 5 4 3 6 2 2 2" xfId="17912" xr:uid="{45D122F2-3D8D-4703-A3D7-18994DCDA7E3}"/>
    <cellStyle name="Normal 5 4 3 6 2 3" xfId="13695" xr:uid="{368C068D-88D2-4DBD-AEBA-AF1A5737D25E}"/>
    <cellStyle name="Normal 5 4 3 6 3" xfId="6485" xr:uid="{00000000-0005-0000-0000-0000221B0000}"/>
    <cellStyle name="Normal 5 4 3 6 3 2" xfId="15767" xr:uid="{905C937E-7F84-43DD-B06A-C6FBA98A1C0B}"/>
    <cellStyle name="Normal 5 4 3 6 4" xfId="11550" xr:uid="{7B85C054-34AF-4D41-8358-98518FC0B1B6}"/>
    <cellStyle name="Normal 5 4 3 7" xfId="2615" xr:uid="{00000000-0005-0000-0000-0000231B0000}"/>
    <cellStyle name="Normal 5 4 3 7 2" xfId="6898" xr:uid="{00000000-0005-0000-0000-0000241B0000}"/>
    <cellStyle name="Normal 5 4 3 7 2 2" xfId="16180" xr:uid="{79C03A8E-1208-4592-BA02-A3F892AE7B8F}"/>
    <cellStyle name="Normal 5 4 3 7 3" xfId="11963" xr:uid="{0C5B37D1-AE95-4FC2-ABFC-FB1007AFA787}"/>
    <cellStyle name="Normal 5 4 3 8" xfId="4833" xr:uid="{00000000-0005-0000-0000-0000251B0000}"/>
    <cellStyle name="Normal 5 4 3 8 2" xfId="14115" xr:uid="{8802D1F5-65A5-4B87-A10A-2C20A09C3165}"/>
    <cellStyle name="Normal 5 4 3 9" xfId="9898" xr:uid="{38969074-0F25-402A-BBD6-EA70FE321938}"/>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675" xr:uid="{E67615ED-6E8F-4BD8-B4C5-B22967902AC7}"/>
    <cellStyle name="Normal 5 4 4 2 2 3" xfId="12458" xr:uid="{FA0BCA8E-F64D-4632-9A6F-CADF3F13A475}"/>
    <cellStyle name="Normal 5 4 4 2 3" xfId="5248" xr:uid="{00000000-0005-0000-0000-00002A1B0000}"/>
    <cellStyle name="Normal 5 4 4 2 3 2" xfId="14530" xr:uid="{3E493F5E-A00D-4CD1-B2EF-BFE09E71C882}"/>
    <cellStyle name="Normal 5 4 4 2 4" xfId="10313" xr:uid="{3832B7DC-6ED5-4DA8-B20A-FDED6AC778ED}"/>
    <cellStyle name="Normal 5 4 4 2 5" xfId="9485" xr:uid="{89F9414F-253F-4549-9C31-0AFE7354A140}"/>
    <cellStyle name="Normal 5 4 4 3" xfId="1354" xr:uid="{00000000-0005-0000-0000-00002B1B0000}"/>
    <cellStyle name="Normal 5 4 4 3 2" xfId="3584" xr:uid="{00000000-0005-0000-0000-00002C1B0000}"/>
    <cellStyle name="Normal 5 4 4 3 2 2" xfId="7806" xr:uid="{00000000-0005-0000-0000-00002D1B0000}"/>
    <cellStyle name="Normal 5 4 4 3 2 2 2" xfId="17088" xr:uid="{05671D2B-5C2D-475B-97DC-8CDEB466BF69}"/>
    <cellStyle name="Normal 5 4 4 3 2 3" xfId="12871" xr:uid="{78F3CCA8-7CE7-43B6-B62C-5427F9026769}"/>
    <cellStyle name="Normal 5 4 4 3 3" xfId="5661" xr:uid="{00000000-0005-0000-0000-00002E1B0000}"/>
    <cellStyle name="Normal 5 4 4 3 3 2" xfId="14943" xr:uid="{515A56F7-6E01-46DF-A624-59ECD6BEBE17}"/>
    <cellStyle name="Normal 5 4 4 3 4" xfId="10726" xr:uid="{D0F54B89-4B55-4433-9369-B316ABA8872C}"/>
    <cellStyle name="Normal 5 4 4 4" xfId="1767" xr:uid="{00000000-0005-0000-0000-00002F1B0000}"/>
    <cellStyle name="Normal 5 4 4 4 2" xfId="3997" xr:uid="{00000000-0005-0000-0000-0000301B0000}"/>
    <cellStyle name="Normal 5 4 4 4 2 2" xfId="8219" xr:uid="{00000000-0005-0000-0000-0000311B0000}"/>
    <cellStyle name="Normal 5 4 4 4 2 2 2" xfId="17501" xr:uid="{1C7D148D-63FD-4B72-9B98-5F861429AEBC}"/>
    <cellStyle name="Normal 5 4 4 4 2 3" xfId="13284" xr:uid="{46B13771-BDE9-4A30-AA3C-CEA54CB3141B}"/>
    <cellStyle name="Normal 5 4 4 4 3" xfId="6074" xr:uid="{00000000-0005-0000-0000-0000321B0000}"/>
    <cellStyle name="Normal 5 4 4 4 3 2" xfId="15356" xr:uid="{D03A262E-2817-4801-85B7-2EC6EA9AF399}"/>
    <cellStyle name="Normal 5 4 4 4 4" xfId="11139" xr:uid="{B71A5311-736C-4C5A-9707-6E5B5D4085D9}"/>
    <cellStyle name="Normal 5 4 4 5" xfId="2181" xr:uid="{00000000-0005-0000-0000-0000331B0000}"/>
    <cellStyle name="Normal 5 4 4 5 2" xfId="4410" xr:uid="{00000000-0005-0000-0000-0000341B0000}"/>
    <cellStyle name="Normal 5 4 4 5 2 2" xfId="8632" xr:uid="{00000000-0005-0000-0000-0000351B0000}"/>
    <cellStyle name="Normal 5 4 4 5 2 2 2" xfId="17914" xr:uid="{4AC8A889-564A-442C-A471-0D54AFB89A27}"/>
    <cellStyle name="Normal 5 4 4 5 2 3" xfId="13697" xr:uid="{91E10F34-C42C-40F0-AEEC-C0C2BA7A40DF}"/>
    <cellStyle name="Normal 5 4 4 5 3" xfId="6487" xr:uid="{00000000-0005-0000-0000-0000361B0000}"/>
    <cellStyle name="Normal 5 4 4 5 3 2" xfId="15769" xr:uid="{52A3A338-EE0A-4017-9871-138CD309F0CD}"/>
    <cellStyle name="Normal 5 4 4 5 4" xfId="11552" xr:uid="{4D6DA80A-91F8-478F-9295-C16E801C4EF0}"/>
    <cellStyle name="Normal 5 4 4 6" xfId="2617" xr:uid="{00000000-0005-0000-0000-0000371B0000}"/>
    <cellStyle name="Normal 5 4 4 6 2" xfId="6900" xr:uid="{00000000-0005-0000-0000-0000381B0000}"/>
    <cellStyle name="Normal 5 4 4 6 2 2" xfId="16182" xr:uid="{7E7CFCD0-0666-4A82-AFEE-2AD67A15A6C8}"/>
    <cellStyle name="Normal 5 4 4 6 3" xfId="11965" xr:uid="{C52C13BB-C937-4B01-BD68-FC4F4CD4FAF2}"/>
    <cellStyle name="Normal 5 4 4 7" xfId="4835" xr:uid="{00000000-0005-0000-0000-0000391B0000}"/>
    <cellStyle name="Normal 5 4 4 7 2" xfId="14117" xr:uid="{FCD14332-8A42-4377-AEA7-62F8DBDD1910}"/>
    <cellStyle name="Normal 5 4 4 8" xfId="9900" xr:uid="{2F75DAC5-A08E-4263-885B-CD8E2D33038F}"/>
    <cellStyle name="Normal 5 4 4 9" xfId="9066" xr:uid="{6A6A5029-3589-4173-BE45-244AE7EE9E8C}"/>
    <cellStyle name="Normal 5 4 5" xfId="930" xr:uid="{00000000-0005-0000-0000-00003A1B0000}"/>
    <cellStyle name="Normal 5 4 5 2" xfId="3164" xr:uid="{00000000-0005-0000-0000-00003B1B0000}"/>
    <cellStyle name="Normal 5 4 5 2 2" xfId="7386" xr:uid="{00000000-0005-0000-0000-00003C1B0000}"/>
    <cellStyle name="Normal 5 4 5 2 2 2" xfId="16668" xr:uid="{402B2849-4149-44BD-BB59-3908221DD0FE}"/>
    <cellStyle name="Normal 5 4 5 2 3" xfId="12451" xr:uid="{46776ACE-B75C-4B39-8D73-5CC38331F7F3}"/>
    <cellStyle name="Normal 5 4 5 3" xfId="5241" xr:uid="{00000000-0005-0000-0000-00003D1B0000}"/>
    <cellStyle name="Normal 5 4 5 3 2" xfId="14523" xr:uid="{72BF6FCD-CA37-42C6-B27C-0E922265C8BB}"/>
    <cellStyle name="Normal 5 4 5 4" xfId="10306" xr:uid="{36792EE2-A9AD-4089-9DFE-F0B8C7CCA466}"/>
    <cellStyle name="Normal 5 4 5 5" xfId="9478" xr:uid="{488FE301-2C49-4ADF-BEBB-C25CBE1A9538}"/>
    <cellStyle name="Normal 5 4 6" xfId="1347" xr:uid="{00000000-0005-0000-0000-00003E1B0000}"/>
    <cellStyle name="Normal 5 4 6 2" xfId="3577" xr:uid="{00000000-0005-0000-0000-00003F1B0000}"/>
    <cellStyle name="Normal 5 4 6 2 2" xfId="7799" xr:uid="{00000000-0005-0000-0000-0000401B0000}"/>
    <cellStyle name="Normal 5 4 6 2 2 2" xfId="17081" xr:uid="{F4171692-8323-444F-9D63-1F57354FB86D}"/>
    <cellStyle name="Normal 5 4 6 2 3" xfId="12864" xr:uid="{7480518F-EA5D-4D53-B0CB-A4BAC6A53ED6}"/>
    <cellStyle name="Normal 5 4 6 3" xfId="5654" xr:uid="{00000000-0005-0000-0000-0000411B0000}"/>
    <cellStyle name="Normal 5 4 6 3 2" xfId="14936" xr:uid="{EC6EC1E2-341B-4F52-8B1B-31DDA2470650}"/>
    <cellStyle name="Normal 5 4 6 4" xfId="10719" xr:uid="{AB9347A3-5261-4D85-B434-02834F5E0E8A}"/>
    <cellStyle name="Normal 5 4 7" xfId="1760" xr:uid="{00000000-0005-0000-0000-0000421B0000}"/>
    <cellStyle name="Normal 5 4 7 2" xfId="3990" xr:uid="{00000000-0005-0000-0000-0000431B0000}"/>
    <cellStyle name="Normal 5 4 7 2 2" xfId="8212" xr:uid="{00000000-0005-0000-0000-0000441B0000}"/>
    <cellStyle name="Normal 5 4 7 2 2 2" xfId="17494" xr:uid="{96A77E89-6BEE-4DFA-B76A-91739D863F59}"/>
    <cellStyle name="Normal 5 4 7 2 3" xfId="13277" xr:uid="{ADD1A9A4-3690-4754-ACF2-AE28A0726DC0}"/>
    <cellStyle name="Normal 5 4 7 3" xfId="6067" xr:uid="{00000000-0005-0000-0000-0000451B0000}"/>
    <cellStyle name="Normal 5 4 7 3 2" xfId="15349" xr:uid="{DFA3B8D9-4F4C-4F1B-8822-FA947999DE7F}"/>
    <cellStyle name="Normal 5 4 7 4" xfId="11132" xr:uid="{B981119F-627E-42C2-9CA7-8F0585C878E3}"/>
    <cellStyle name="Normal 5 4 8" xfId="2174" xr:uid="{00000000-0005-0000-0000-0000461B0000}"/>
    <cellStyle name="Normal 5 4 8 2" xfId="4403" xr:uid="{00000000-0005-0000-0000-0000471B0000}"/>
    <cellStyle name="Normal 5 4 8 2 2" xfId="8625" xr:uid="{00000000-0005-0000-0000-0000481B0000}"/>
    <cellStyle name="Normal 5 4 8 2 2 2" xfId="17907" xr:uid="{47435314-6915-43B3-A99A-32631527D4DB}"/>
    <cellStyle name="Normal 5 4 8 2 3" xfId="13690" xr:uid="{EF245527-C104-4FA2-A76A-65DC678D890E}"/>
    <cellStyle name="Normal 5 4 8 3" xfId="6480" xr:uid="{00000000-0005-0000-0000-0000491B0000}"/>
    <cellStyle name="Normal 5 4 8 3 2" xfId="15762" xr:uid="{1FA7B6A7-0F1B-4718-ACAB-4C9173535B4E}"/>
    <cellStyle name="Normal 5 4 8 4" xfId="11545" xr:uid="{1BF49F24-3B9A-43EB-B0E1-8223F80DA84B}"/>
    <cellStyle name="Normal 5 4 9" xfId="2610" xr:uid="{00000000-0005-0000-0000-00004A1B0000}"/>
    <cellStyle name="Normal 5 4 9 2" xfId="6893" xr:uid="{00000000-0005-0000-0000-00004B1B0000}"/>
    <cellStyle name="Normal 5 4 9 2 2" xfId="16175" xr:uid="{DEC4363C-F378-46FD-939F-230D57F105B9}"/>
    <cellStyle name="Normal 5 4 9 3" xfId="11958" xr:uid="{6808215E-60D3-4CC5-A378-9E4AD8676F50}"/>
    <cellStyle name="Normal 5 5" xfId="464" xr:uid="{00000000-0005-0000-0000-00004C1B0000}"/>
    <cellStyle name="Normal 5 5 10" xfId="9901" xr:uid="{804574BC-42A7-4A23-A2D3-84FD9D4F1E94}"/>
    <cellStyle name="Normal 5 5 11" xfId="9067" xr:uid="{625821B5-239C-4964-8001-D4D30DCD64A6}"/>
    <cellStyle name="Normal 5 5 2" xfId="465" xr:uid="{00000000-0005-0000-0000-00004D1B0000}"/>
    <cellStyle name="Normal 5 5 2 10" xfId="9068" xr:uid="{540778AF-4725-41CC-A6A1-64CE05FDD2EB}"/>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678" xr:uid="{E07925EA-044F-42CB-A262-B11DB04DB302}"/>
    <cellStyle name="Normal 5 5 2 2 2 2 3" xfId="12461" xr:uid="{FA314D63-C89A-42FA-AEEC-931A1AF59F3C}"/>
    <cellStyle name="Normal 5 5 2 2 2 3" xfId="5251" xr:uid="{00000000-0005-0000-0000-0000521B0000}"/>
    <cellStyle name="Normal 5 5 2 2 2 3 2" xfId="14533" xr:uid="{ED97C5F2-2BAE-4F18-8C38-211A3FF44B33}"/>
    <cellStyle name="Normal 5 5 2 2 2 4" xfId="10316" xr:uid="{55729C5A-D0F1-48C4-8EB4-AC5CF14C35C8}"/>
    <cellStyle name="Normal 5 5 2 2 2 5" xfId="9488" xr:uid="{68E808D1-3759-4A0A-B85F-6EE92E7B3AF9}"/>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091" xr:uid="{37D65CE8-D9FC-4AE6-8023-BD0397F9D47D}"/>
    <cellStyle name="Normal 5 5 2 2 3 2 3" xfId="12874" xr:uid="{A166EDEF-F2AE-4D11-9C99-0DB260172568}"/>
    <cellStyle name="Normal 5 5 2 2 3 3" xfId="5664" xr:uid="{00000000-0005-0000-0000-0000561B0000}"/>
    <cellStyle name="Normal 5 5 2 2 3 3 2" xfId="14946" xr:uid="{30D1AA2C-A1A5-4A7E-AA98-AC36407FD7B3}"/>
    <cellStyle name="Normal 5 5 2 2 3 4" xfId="10729" xr:uid="{FCA39D6A-D8BF-4286-9C22-8257A748E3E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04" xr:uid="{DBAF9181-03F5-420B-8AB9-88565A6035FC}"/>
    <cellStyle name="Normal 5 5 2 2 4 2 3" xfId="13287" xr:uid="{2BDD1795-8004-42B6-84DC-969911883AAA}"/>
    <cellStyle name="Normal 5 5 2 2 4 3" xfId="6077" xr:uid="{00000000-0005-0000-0000-00005A1B0000}"/>
    <cellStyle name="Normal 5 5 2 2 4 3 2" xfId="15359" xr:uid="{4A5A0B74-0F7C-43A4-B7B6-C3ED2970696D}"/>
    <cellStyle name="Normal 5 5 2 2 4 4" xfId="11142" xr:uid="{DF9706BA-D7B1-4DA7-93A2-8E72EAFED4F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17" xr:uid="{3C0B26DE-6AE8-4EDC-A855-1638E6B09EF3}"/>
    <cellStyle name="Normal 5 5 2 2 5 2 3" xfId="13700" xr:uid="{40689C3D-D1D3-4A68-A9DD-EFEE0B42A52E}"/>
    <cellStyle name="Normal 5 5 2 2 5 3" xfId="6490" xr:uid="{00000000-0005-0000-0000-00005E1B0000}"/>
    <cellStyle name="Normal 5 5 2 2 5 3 2" xfId="15772" xr:uid="{C13B3343-4A41-442E-B5EC-553C76DA6CF8}"/>
    <cellStyle name="Normal 5 5 2 2 5 4" xfId="11555" xr:uid="{EC907718-CFBA-43FE-9BA8-376D1DB6D08B}"/>
    <cellStyle name="Normal 5 5 2 2 6" xfId="2620" xr:uid="{00000000-0005-0000-0000-00005F1B0000}"/>
    <cellStyle name="Normal 5 5 2 2 6 2" xfId="6903" xr:uid="{00000000-0005-0000-0000-0000601B0000}"/>
    <cellStyle name="Normal 5 5 2 2 6 2 2" xfId="16185" xr:uid="{98548E59-A2E4-4B92-B395-A9B387A81919}"/>
    <cellStyle name="Normal 5 5 2 2 6 3" xfId="11968" xr:uid="{4674420E-8929-4CD6-A51D-695169B1FE56}"/>
    <cellStyle name="Normal 5 5 2 2 7" xfId="4838" xr:uid="{00000000-0005-0000-0000-0000611B0000}"/>
    <cellStyle name="Normal 5 5 2 2 7 2" xfId="14120" xr:uid="{6C04EFD3-9F7E-4BC3-BB1C-E97B3B43854C}"/>
    <cellStyle name="Normal 5 5 2 2 8" xfId="9903" xr:uid="{69546BB0-F1D8-4906-B5CC-9A655FD570F5}"/>
    <cellStyle name="Normal 5 5 2 2 9" xfId="9069" xr:uid="{7992CE0C-8FD4-441A-8981-F66338526D93}"/>
    <cellStyle name="Normal 5 5 2 3" xfId="939" xr:uid="{00000000-0005-0000-0000-0000621B0000}"/>
    <cellStyle name="Normal 5 5 2 3 2" xfId="3173" xr:uid="{00000000-0005-0000-0000-0000631B0000}"/>
    <cellStyle name="Normal 5 5 2 3 2 2" xfId="7395" xr:uid="{00000000-0005-0000-0000-0000641B0000}"/>
    <cellStyle name="Normal 5 5 2 3 2 2 2" xfId="16677" xr:uid="{72650985-C695-4A93-9B85-25636C59681A}"/>
    <cellStyle name="Normal 5 5 2 3 2 3" xfId="12460" xr:uid="{C230C939-D2E3-49AB-81A4-52E28E6C4E50}"/>
    <cellStyle name="Normal 5 5 2 3 3" xfId="5250" xr:uid="{00000000-0005-0000-0000-0000651B0000}"/>
    <cellStyle name="Normal 5 5 2 3 3 2" xfId="14532" xr:uid="{13B82948-FD75-4405-9671-27D615543FF8}"/>
    <cellStyle name="Normal 5 5 2 3 4" xfId="10315" xr:uid="{3873F40E-CE91-4231-A6DD-CCB2E7F1D12B}"/>
    <cellStyle name="Normal 5 5 2 3 5" xfId="9487" xr:uid="{667F1F13-2173-4100-8DF2-94E7E44AA593}"/>
    <cellStyle name="Normal 5 5 2 4" xfId="1356" xr:uid="{00000000-0005-0000-0000-0000661B0000}"/>
    <cellStyle name="Normal 5 5 2 4 2" xfId="3586" xr:uid="{00000000-0005-0000-0000-0000671B0000}"/>
    <cellStyle name="Normal 5 5 2 4 2 2" xfId="7808" xr:uid="{00000000-0005-0000-0000-0000681B0000}"/>
    <cellStyle name="Normal 5 5 2 4 2 2 2" xfId="17090" xr:uid="{79C25541-DBC0-48EC-8A59-0801DE1D24AE}"/>
    <cellStyle name="Normal 5 5 2 4 2 3" xfId="12873" xr:uid="{21171CB3-D565-4DDA-841B-1B375749E5FA}"/>
    <cellStyle name="Normal 5 5 2 4 3" xfId="5663" xr:uid="{00000000-0005-0000-0000-0000691B0000}"/>
    <cellStyle name="Normal 5 5 2 4 3 2" xfId="14945" xr:uid="{1172F1A3-10A7-4FB9-A949-BE650BA59BDD}"/>
    <cellStyle name="Normal 5 5 2 4 4" xfId="10728" xr:uid="{BF963DF4-1FC2-4355-8595-8B3A20B84EF1}"/>
    <cellStyle name="Normal 5 5 2 5" xfId="1769" xr:uid="{00000000-0005-0000-0000-00006A1B0000}"/>
    <cellStyle name="Normal 5 5 2 5 2" xfId="3999" xr:uid="{00000000-0005-0000-0000-00006B1B0000}"/>
    <cellStyle name="Normal 5 5 2 5 2 2" xfId="8221" xr:uid="{00000000-0005-0000-0000-00006C1B0000}"/>
    <cellStyle name="Normal 5 5 2 5 2 2 2" xfId="17503" xr:uid="{C0730D78-B280-4579-B54D-56AE008F17F9}"/>
    <cellStyle name="Normal 5 5 2 5 2 3" xfId="13286" xr:uid="{FC9DA2F6-9A2D-4CC9-AF4F-6CAD23641DAD}"/>
    <cellStyle name="Normal 5 5 2 5 3" xfId="6076" xr:uid="{00000000-0005-0000-0000-00006D1B0000}"/>
    <cellStyle name="Normal 5 5 2 5 3 2" xfId="15358" xr:uid="{036A824C-A6F4-45F3-B880-C484461A1A43}"/>
    <cellStyle name="Normal 5 5 2 5 4" xfId="11141" xr:uid="{5BE6D296-41D6-4E89-9BAF-FC8F3B848508}"/>
    <cellStyle name="Normal 5 5 2 6" xfId="2183" xr:uid="{00000000-0005-0000-0000-00006E1B0000}"/>
    <cellStyle name="Normal 5 5 2 6 2" xfId="4412" xr:uid="{00000000-0005-0000-0000-00006F1B0000}"/>
    <cellStyle name="Normal 5 5 2 6 2 2" xfId="8634" xr:uid="{00000000-0005-0000-0000-0000701B0000}"/>
    <cellStyle name="Normal 5 5 2 6 2 2 2" xfId="17916" xr:uid="{1E2F2151-ECFA-4F19-920D-42467FD06869}"/>
    <cellStyle name="Normal 5 5 2 6 2 3" xfId="13699" xr:uid="{781F955D-F6D0-4EEF-8F96-7D873A623538}"/>
    <cellStyle name="Normal 5 5 2 6 3" xfId="6489" xr:uid="{00000000-0005-0000-0000-0000711B0000}"/>
    <cellStyle name="Normal 5 5 2 6 3 2" xfId="15771" xr:uid="{4AACA1A1-1CD9-4977-8D1D-37D392C1EA14}"/>
    <cellStyle name="Normal 5 5 2 6 4" xfId="11554" xr:uid="{9C276A39-9382-4DF2-9432-142C68B881DA}"/>
    <cellStyle name="Normal 5 5 2 7" xfId="2619" xr:uid="{00000000-0005-0000-0000-0000721B0000}"/>
    <cellStyle name="Normal 5 5 2 7 2" xfId="6902" xr:uid="{00000000-0005-0000-0000-0000731B0000}"/>
    <cellStyle name="Normal 5 5 2 7 2 2" xfId="16184" xr:uid="{72151E1C-6686-4E0F-BBA2-85DC54520FC0}"/>
    <cellStyle name="Normal 5 5 2 7 3" xfId="11967" xr:uid="{71C52FF0-C8F6-440D-9E64-C4E2A94B1245}"/>
    <cellStyle name="Normal 5 5 2 8" xfId="4837" xr:uid="{00000000-0005-0000-0000-0000741B0000}"/>
    <cellStyle name="Normal 5 5 2 8 2" xfId="14119" xr:uid="{98366998-2CCF-48AD-833D-C5EF3A6D7E57}"/>
    <cellStyle name="Normal 5 5 2 9" xfId="9902" xr:uid="{1402FAA2-A799-4FE6-B6CC-01D0A409C03E}"/>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679" xr:uid="{3AFE3C16-08E2-4DA4-ADFB-A650003D715D}"/>
    <cellStyle name="Normal 5 5 3 2 2 3" xfId="12462" xr:uid="{F9E9091A-E428-4790-AACC-1A6F7E5CA1F9}"/>
    <cellStyle name="Normal 5 5 3 2 3" xfId="5252" xr:uid="{00000000-0005-0000-0000-0000791B0000}"/>
    <cellStyle name="Normal 5 5 3 2 3 2" xfId="14534" xr:uid="{797CEFCF-5F75-4E3B-809C-47624EEC704C}"/>
    <cellStyle name="Normal 5 5 3 2 4" xfId="10317" xr:uid="{68AC6CC6-9E1E-4AA4-85F6-49AC83FC8ECB}"/>
    <cellStyle name="Normal 5 5 3 2 5" xfId="9489" xr:uid="{098B0E10-0E4A-4E77-866E-05C6DB54BF75}"/>
    <cellStyle name="Normal 5 5 3 3" xfId="1358" xr:uid="{00000000-0005-0000-0000-00007A1B0000}"/>
    <cellStyle name="Normal 5 5 3 3 2" xfId="3588" xr:uid="{00000000-0005-0000-0000-00007B1B0000}"/>
    <cellStyle name="Normal 5 5 3 3 2 2" xfId="7810" xr:uid="{00000000-0005-0000-0000-00007C1B0000}"/>
    <cellStyle name="Normal 5 5 3 3 2 2 2" xfId="17092" xr:uid="{7C5FC2BC-CFB8-49CC-A902-67D562957EBA}"/>
    <cellStyle name="Normal 5 5 3 3 2 3" xfId="12875" xr:uid="{39EA999C-7FB5-4035-A0E5-9A8FE9E462F5}"/>
    <cellStyle name="Normal 5 5 3 3 3" xfId="5665" xr:uid="{00000000-0005-0000-0000-00007D1B0000}"/>
    <cellStyle name="Normal 5 5 3 3 3 2" xfId="14947" xr:uid="{DE685254-42E3-49F4-A6EE-4FFB0888ABB1}"/>
    <cellStyle name="Normal 5 5 3 3 4" xfId="10730" xr:uid="{9F977CD2-6B17-4752-9F2E-4A5CA0ED6055}"/>
    <cellStyle name="Normal 5 5 3 4" xfId="1771" xr:uid="{00000000-0005-0000-0000-00007E1B0000}"/>
    <cellStyle name="Normal 5 5 3 4 2" xfId="4001" xr:uid="{00000000-0005-0000-0000-00007F1B0000}"/>
    <cellStyle name="Normal 5 5 3 4 2 2" xfId="8223" xr:uid="{00000000-0005-0000-0000-0000801B0000}"/>
    <cellStyle name="Normal 5 5 3 4 2 2 2" xfId="17505" xr:uid="{2C2180CA-4116-4AA5-B20F-40CE36D13F16}"/>
    <cellStyle name="Normal 5 5 3 4 2 3" xfId="13288" xr:uid="{513043F6-3C5E-45FA-B1D2-F34A65B806CC}"/>
    <cellStyle name="Normal 5 5 3 4 3" xfId="6078" xr:uid="{00000000-0005-0000-0000-0000811B0000}"/>
    <cellStyle name="Normal 5 5 3 4 3 2" xfId="15360" xr:uid="{398BECFA-2AFC-42B0-963C-95641E48D4A5}"/>
    <cellStyle name="Normal 5 5 3 4 4" xfId="11143" xr:uid="{8962980E-5695-4530-B776-2745D642A10A}"/>
    <cellStyle name="Normal 5 5 3 5" xfId="2185" xr:uid="{00000000-0005-0000-0000-0000821B0000}"/>
    <cellStyle name="Normal 5 5 3 5 2" xfId="4414" xr:uid="{00000000-0005-0000-0000-0000831B0000}"/>
    <cellStyle name="Normal 5 5 3 5 2 2" xfId="8636" xr:uid="{00000000-0005-0000-0000-0000841B0000}"/>
    <cellStyle name="Normal 5 5 3 5 2 2 2" xfId="17918" xr:uid="{AE450B42-607E-4AD2-9B99-19BDF8688B4B}"/>
    <cellStyle name="Normal 5 5 3 5 2 3" xfId="13701" xr:uid="{B1218A10-5438-411A-8925-52CD0FC98BC7}"/>
    <cellStyle name="Normal 5 5 3 5 3" xfId="6491" xr:uid="{00000000-0005-0000-0000-0000851B0000}"/>
    <cellStyle name="Normal 5 5 3 5 3 2" xfId="15773" xr:uid="{22BD399A-B44D-4110-830E-59A160DAD897}"/>
    <cellStyle name="Normal 5 5 3 5 4" xfId="11556" xr:uid="{B09F8481-45E9-4B17-BD22-8903F022215A}"/>
    <cellStyle name="Normal 5 5 3 6" xfId="2621" xr:uid="{00000000-0005-0000-0000-0000861B0000}"/>
    <cellStyle name="Normal 5 5 3 6 2" xfId="6904" xr:uid="{00000000-0005-0000-0000-0000871B0000}"/>
    <cellStyle name="Normal 5 5 3 6 2 2" xfId="16186" xr:uid="{1B5CFC6E-D0D7-4839-88AC-06801351D2D0}"/>
    <cellStyle name="Normal 5 5 3 6 3" xfId="11969" xr:uid="{10572C07-6580-4B20-A0C9-25A75297ED77}"/>
    <cellStyle name="Normal 5 5 3 7" xfId="4839" xr:uid="{00000000-0005-0000-0000-0000881B0000}"/>
    <cellStyle name="Normal 5 5 3 7 2" xfId="14121" xr:uid="{3AF2CB35-4E79-41E0-8063-58C72E9FECB2}"/>
    <cellStyle name="Normal 5 5 3 8" xfId="9904" xr:uid="{CE7DFF00-BE05-426B-8E3B-8852E13C7178}"/>
    <cellStyle name="Normal 5 5 3 9" xfId="9070" xr:uid="{0BF69802-6ED4-4B75-A623-2F47BA88406B}"/>
    <cellStyle name="Normal 5 5 4" xfId="938" xr:uid="{00000000-0005-0000-0000-0000891B0000}"/>
    <cellStyle name="Normal 5 5 4 2" xfId="3172" xr:uid="{00000000-0005-0000-0000-00008A1B0000}"/>
    <cellStyle name="Normal 5 5 4 2 2" xfId="7394" xr:uid="{00000000-0005-0000-0000-00008B1B0000}"/>
    <cellStyle name="Normal 5 5 4 2 2 2" xfId="16676" xr:uid="{F954AD9C-5A5A-4C56-9782-C7E876018C93}"/>
    <cellStyle name="Normal 5 5 4 2 3" xfId="12459" xr:uid="{28212E58-99B5-4122-A13E-0ACC0C34D00B}"/>
    <cellStyle name="Normal 5 5 4 3" xfId="5249" xr:uid="{00000000-0005-0000-0000-00008C1B0000}"/>
    <cellStyle name="Normal 5 5 4 3 2" xfId="14531" xr:uid="{B95791FD-1B13-4B8E-A68A-C1B63C65B478}"/>
    <cellStyle name="Normal 5 5 4 4" xfId="10314" xr:uid="{38AD06A6-B1F5-4904-9980-0AE06B535E0A}"/>
    <cellStyle name="Normal 5 5 4 5" xfId="9486" xr:uid="{4414318D-E5EE-4536-9EA0-61F3C59C6671}"/>
    <cellStyle name="Normal 5 5 5" xfId="1355" xr:uid="{00000000-0005-0000-0000-00008D1B0000}"/>
    <cellStyle name="Normal 5 5 5 2" xfId="3585" xr:uid="{00000000-0005-0000-0000-00008E1B0000}"/>
    <cellStyle name="Normal 5 5 5 2 2" xfId="7807" xr:uid="{00000000-0005-0000-0000-00008F1B0000}"/>
    <cellStyle name="Normal 5 5 5 2 2 2" xfId="17089" xr:uid="{52768791-A1A7-45D0-AEBE-19770974C0F9}"/>
    <cellStyle name="Normal 5 5 5 2 3" xfId="12872" xr:uid="{9C1045BC-CB62-4DD7-B400-909DF4B7B4F1}"/>
    <cellStyle name="Normal 5 5 5 3" xfId="5662" xr:uid="{00000000-0005-0000-0000-0000901B0000}"/>
    <cellStyle name="Normal 5 5 5 3 2" xfId="14944" xr:uid="{0DE4A5C7-F4FF-481E-A337-13862673F95C}"/>
    <cellStyle name="Normal 5 5 5 4" xfId="10727" xr:uid="{D1E8E534-FB9F-473A-AF72-48C2A94ED0C9}"/>
    <cellStyle name="Normal 5 5 6" xfId="1768" xr:uid="{00000000-0005-0000-0000-0000911B0000}"/>
    <cellStyle name="Normal 5 5 6 2" xfId="3998" xr:uid="{00000000-0005-0000-0000-0000921B0000}"/>
    <cellStyle name="Normal 5 5 6 2 2" xfId="8220" xr:uid="{00000000-0005-0000-0000-0000931B0000}"/>
    <cellStyle name="Normal 5 5 6 2 2 2" xfId="17502" xr:uid="{6AB11322-A215-46F7-AE80-C47C0DDB3D34}"/>
    <cellStyle name="Normal 5 5 6 2 3" xfId="13285" xr:uid="{24A69D56-0A8F-4F38-A546-58966221B3BB}"/>
    <cellStyle name="Normal 5 5 6 3" xfId="6075" xr:uid="{00000000-0005-0000-0000-0000941B0000}"/>
    <cellStyle name="Normal 5 5 6 3 2" xfId="15357" xr:uid="{17C1DE2A-E935-4FD1-8372-86789959CF5D}"/>
    <cellStyle name="Normal 5 5 6 4" xfId="11140" xr:uid="{E949BF4C-87FF-4F13-B4AF-290C204872E8}"/>
    <cellStyle name="Normal 5 5 7" xfId="2182" xr:uid="{00000000-0005-0000-0000-0000951B0000}"/>
    <cellStyle name="Normal 5 5 7 2" xfId="4411" xr:uid="{00000000-0005-0000-0000-0000961B0000}"/>
    <cellStyle name="Normal 5 5 7 2 2" xfId="8633" xr:uid="{00000000-0005-0000-0000-0000971B0000}"/>
    <cellStyle name="Normal 5 5 7 2 2 2" xfId="17915" xr:uid="{8987CC99-BDFC-4D9B-B8B5-CA7DCD94FEF8}"/>
    <cellStyle name="Normal 5 5 7 2 3" xfId="13698" xr:uid="{3D3EDD21-FA66-435B-9773-F464A5B00E33}"/>
    <cellStyle name="Normal 5 5 7 3" xfId="6488" xr:uid="{00000000-0005-0000-0000-0000981B0000}"/>
    <cellStyle name="Normal 5 5 7 3 2" xfId="15770" xr:uid="{4524FB10-B8D0-4D04-B74B-5F086CB99319}"/>
    <cellStyle name="Normal 5 5 7 4" xfId="11553" xr:uid="{88989D3F-F51A-42F0-B9BE-C3CFD81D8962}"/>
    <cellStyle name="Normal 5 5 8" xfId="2618" xr:uid="{00000000-0005-0000-0000-0000991B0000}"/>
    <cellStyle name="Normal 5 5 8 2" xfId="6901" xr:uid="{00000000-0005-0000-0000-00009A1B0000}"/>
    <cellStyle name="Normal 5 5 8 2 2" xfId="16183" xr:uid="{8715E3B4-7AF3-48B4-88B9-4D4AD0656EAD}"/>
    <cellStyle name="Normal 5 5 8 3" xfId="11966" xr:uid="{B46A0F08-DDE9-4970-A7CB-36B2AB23E6DD}"/>
    <cellStyle name="Normal 5 5 9" xfId="4836" xr:uid="{00000000-0005-0000-0000-00009B1B0000}"/>
    <cellStyle name="Normal 5 5 9 2" xfId="14118" xr:uid="{7F077748-2BCE-4DAF-853D-71988B305DB0}"/>
    <cellStyle name="Normal 5 6" xfId="468" xr:uid="{00000000-0005-0000-0000-00009C1B0000}"/>
    <cellStyle name="Normal 5 6 10" xfId="9071" xr:uid="{C86AABFA-0779-4947-A5D3-76886C40716A}"/>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681" xr:uid="{B13C0DE0-AF12-484C-827D-0D12F64949EF}"/>
    <cellStyle name="Normal 5 6 2 2 2 3" xfId="12464" xr:uid="{8B77B37F-E853-44E7-8AD1-78BCD0E9CDD9}"/>
    <cellStyle name="Normal 5 6 2 2 3" xfId="5254" xr:uid="{00000000-0005-0000-0000-0000A11B0000}"/>
    <cellStyle name="Normal 5 6 2 2 3 2" xfId="14536" xr:uid="{25B2C501-B0D5-48A9-A0D3-1CBF82F05EA4}"/>
    <cellStyle name="Normal 5 6 2 2 4" xfId="10319" xr:uid="{1A55C575-A10F-4B9C-82AC-94D2554548B7}"/>
    <cellStyle name="Normal 5 6 2 2 5" xfId="9491" xr:uid="{98D6CC03-EF0E-439D-AA5E-411196A8C556}"/>
    <cellStyle name="Normal 5 6 2 3" xfId="1360" xr:uid="{00000000-0005-0000-0000-0000A21B0000}"/>
    <cellStyle name="Normal 5 6 2 3 2" xfId="3590" xr:uid="{00000000-0005-0000-0000-0000A31B0000}"/>
    <cellStyle name="Normal 5 6 2 3 2 2" xfId="7812" xr:uid="{00000000-0005-0000-0000-0000A41B0000}"/>
    <cellStyle name="Normal 5 6 2 3 2 2 2" xfId="17094" xr:uid="{98AED5A5-B93A-4AAA-AD41-73E55E8F977F}"/>
    <cellStyle name="Normal 5 6 2 3 2 3" xfId="12877" xr:uid="{5A7BD0F2-FD74-4BE6-BDA5-800FF9AF95AB}"/>
    <cellStyle name="Normal 5 6 2 3 3" xfId="5667" xr:uid="{00000000-0005-0000-0000-0000A51B0000}"/>
    <cellStyle name="Normal 5 6 2 3 3 2" xfId="14949" xr:uid="{B32F23C3-6CC4-4205-95F4-940B94B6E6C1}"/>
    <cellStyle name="Normal 5 6 2 3 4" xfId="10732" xr:uid="{2177F191-1CCE-4541-9006-901BC92BCD80}"/>
    <cellStyle name="Normal 5 6 2 4" xfId="1773" xr:uid="{00000000-0005-0000-0000-0000A61B0000}"/>
    <cellStyle name="Normal 5 6 2 4 2" xfId="4003" xr:uid="{00000000-0005-0000-0000-0000A71B0000}"/>
    <cellStyle name="Normal 5 6 2 4 2 2" xfId="8225" xr:uid="{00000000-0005-0000-0000-0000A81B0000}"/>
    <cellStyle name="Normal 5 6 2 4 2 2 2" xfId="17507" xr:uid="{ED592A60-24D8-41F9-81C9-2EC3084AFEB4}"/>
    <cellStyle name="Normal 5 6 2 4 2 3" xfId="13290" xr:uid="{2D76715F-0F82-4CC2-A10C-758A7FF18B85}"/>
    <cellStyle name="Normal 5 6 2 4 3" xfId="6080" xr:uid="{00000000-0005-0000-0000-0000A91B0000}"/>
    <cellStyle name="Normal 5 6 2 4 3 2" xfId="15362" xr:uid="{2DF78BCC-691B-4478-AD3D-3DA0DF28A2B8}"/>
    <cellStyle name="Normal 5 6 2 4 4" xfId="11145" xr:uid="{211C57B0-28C6-4DD7-A607-FC57B5E704C5}"/>
    <cellStyle name="Normal 5 6 2 5" xfId="2187" xr:uid="{00000000-0005-0000-0000-0000AA1B0000}"/>
    <cellStyle name="Normal 5 6 2 5 2" xfId="4416" xr:uid="{00000000-0005-0000-0000-0000AB1B0000}"/>
    <cellStyle name="Normal 5 6 2 5 2 2" xfId="8638" xr:uid="{00000000-0005-0000-0000-0000AC1B0000}"/>
    <cellStyle name="Normal 5 6 2 5 2 2 2" xfId="17920" xr:uid="{7F243CAF-853F-4A41-85A5-866056479422}"/>
    <cellStyle name="Normal 5 6 2 5 2 3" xfId="13703" xr:uid="{8B44D1CE-0878-4C4E-BEB0-2C4FFF088A09}"/>
    <cellStyle name="Normal 5 6 2 5 3" xfId="6493" xr:uid="{00000000-0005-0000-0000-0000AD1B0000}"/>
    <cellStyle name="Normal 5 6 2 5 3 2" xfId="15775" xr:uid="{2634DA70-9BC9-47D4-BFA3-C191C751A8FC}"/>
    <cellStyle name="Normal 5 6 2 5 4" xfId="11558" xr:uid="{E23C397D-169E-4F31-BAF6-AF1A333E638E}"/>
    <cellStyle name="Normal 5 6 2 6" xfId="2623" xr:uid="{00000000-0005-0000-0000-0000AE1B0000}"/>
    <cellStyle name="Normal 5 6 2 6 2" xfId="6906" xr:uid="{00000000-0005-0000-0000-0000AF1B0000}"/>
    <cellStyle name="Normal 5 6 2 6 2 2" xfId="16188" xr:uid="{472D5F81-AE32-41AF-BF5A-F96B99CC6BD8}"/>
    <cellStyle name="Normal 5 6 2 6 3" xfId="11971" xr:uid="{71F95A41-F9A8-4DCC-9535-D0FACF92E0E8}"/>
    <cellStyle name="Normal 5 6 2 7" xfId="4841" xr:uid="{00000000-0005-0000-0000-0000B01B0000}"/>
    <cellStyle name="Normal 5 6 2 7 2" xfId="14123" xr:uid="{E1E7FC88-9191-4456-B2AC-F04CF5A26D64}"/>
    <cellStyle name="Normal 5 6 2 8" xfId="9906" xr:uid="{9059DAED-90C8-45DC-B99F-B3B39E0E1FFD}"/>
    <cellStyle name="Normal 5 6 2 9" xfId="9072" xr:uid="{395C7EC1-2ED0-461A-9E48-EBA25742AB56}"/>
    <cellStyle name="Normal 5 6 3" xfId="942" xr:uid="{00000000-0005-0000-0000-0000B11B0000}"/>
    <cellStyle name="Normal 5 6 3 2" xfId="3176" xr:uid="{00000000-0005-0000-0000-0000B21B0000}"/>
    <cellStyle name="Normal 5 6 3 2 2" xfId="7398" xr:uid="{00000000-0005-0000-0000-0000B31B0000}"/>
    <cellStyle name="Normal 5 6 3 2 2 2" xfId="16680" xr:uid="{B6CEDC4A-BC4A-4F6C-A3B6-36DE62A72523}"/>
    <cellStyle name="Normal 5 6 3 2 3" xfId="12463" xr:uid="{9DC67829-656F-4FD2-9100-609B01EC591B}"/>
    <cellStyle name="Normal 5 6 3 3" xfId="5253" xr:uid="{00000000-0005-0000-0000-0000B41B0000}"/>
    <cellStyle name="Normal 5 6 3 3 2" xfId="14535" xr:uid="{506A4953-A63D-43F2-A4BE-C7D822C97917}"/>
    <cellStyle name="Normal 5 6 3 4" xfId="10318" xr:uid="{77CCA27C-82B4-432C-BB2A-3F6A45398A00}"/>
    <cellStyle name="Normal 5 6 3 5" xfId="9490" xr:uid="{4D079C27-D8E1-4555-8339-CED1B61B8C7B}"/>
    <cellStyle name="Normal 5 6 4" xfId="1359" xr:uid="{00000000-0005-0000-0000-0000B51B0000}"/>
    <cellStyle name="Normal 5 6 4 2" xfId="3589" xr:uid="{00000000-0005-0000-0000-0000B61B0000}"/>
    <cellStyle name="Normal 5 6 4 2 2" xfId="7811" xr:uid="{00000000-0005-0000-0000-0000B71B0000}"/>
    <cellStyle name="Normal 5 6 4 2 2 2" xfId="17093" xr:uid="{9C160CFE-F2B1-4480-9E98-BB66F93A4153}"/>
    <cellStyle name="Normal 5 6 4 2 3" xfId="12876" xr:uid="{21132F07-A576-4C01-A77F-E3BB7F1E4011}"/>
    <cellStyle name="Normal 5 6 4 3" xfId="5666" xr:uid="{00000000-0005-0000-0000-0000B81B0000}"/>
    <cellStyle name="Normal 5 6 4 3 2" xfId="14948" xr:uid="{50748D1E-2A4E-4BB6-A697-E7A6FD48BF3E}"/>
    <cellStyle name="Normal 5 6 4 4" xfId="10731" xr:uid="{9B19D829-958D-4763-A592-83A0400715E6}"/>
    <cellStyle name="Normal 5 6 5" xfId="1772" xr:uid="{00000000-0005-0000-0000-0000B91B0000}"/>
    <cellStyle name="Normal 5 6 5 2" xfId="4002" xr:uid="{00000000-0005-0000-0000-0000BA1B0000}"/>
    <cellStyle name="Normal 5 6 5 2 2" xfId="8224" xr:uid="{00000000-0005-0000-0000-0000BB1B0000}"/>
    <cellStyle name="Normal 5 6 5 2 2 2" xfId="17506" xr:uid="{A2A9D63D-F7F0-4D9C-AF3A-E6FAE6C4A9C6}"/>
    <cellStyle name="Normal 5 6 5 2 3" xfId="13289" xr:uid="{DE95410B-8B81-4C5E-BA63-5AEF85CDCBD4}"/>
    <cellStyle name="Normal 5 6 5 3" xfId="6079" xr:uid="{00000000-0005-0000-0000-0000BC1B0000}"/>
    <cellStyle name="Normal 5 6 5 3 2" xfId="15361" xr:uid="{09165B03-D106-433D-AD08-FCCF1BA9ACFE}"/>
    <cellStyle name="Normal 5 6 5 4" xfId="11144" xr:uid="{BFD65183-984F-446C-BD15-F379EF524DDA}"/>
    <cellStyle name="Normal 5 6 6" xfId="2186" xr:uid="{00000000-0005-0000-0000-0000BD1B0000}"/>
    <cellStyle name="Normal 5 6 6 2" xfId="4415" xr:uid="{00000000-0005-0000-0000-0000BE1B0000}"/>
    <cellStyle name="Normal 5 6 6 2 2" xfId="8637" xr:uid="{00000000-0005-0000-0000-0000BF1B0000}"/>
    <cellStyle name="Normal 5 6 6 2 2 2" xfId="17919" xr:uid="{37C7BCC3-1581-4B74-852A-5550CF06975F}"/>
    <cellStyle name="Normal 5 6 6 2 3" xfId="13702" xr:uid="{BDA51F89-8C64-4410-BE98-349705C8C579}"/>
    <cellStyle name="Normal 5 6 6 3" xfId="6492" xr:uid="{00000000-0005-0000-0000-0000C01B0000}"/>
    <cellStyle name="Normal 5 6 6 3 2" xfId="15774" xr:uid="{942CFBB7-17A4-4C0B-91BB-8C5BF7D21938}"/>
    <cellStyle name="Normal 5 6 6 4" xfId="11557" xr:uid="{F6EA3EE6-706D-47A0-84BA-E590E40CDC08}"/>
    <cellStyle name="Normal 5 6 7" xfId="2622" xr:uid="{00000000-0005-0000-0000-0000C11B0000}"/>
    <cellStyle name="Normal 5 6 7 2" xfId="6905" xr:uid="{00000000-0005-0000-0000-0000C21B0000}"/>
    <cellStyle name="Normal 5 6 7 2 2" xfId="16187" xr:uid="{482141A7-E637-4541-AD8C-549B46F6C55F}"/>
    <cellStyle name="Normal 5 6 7 3" xfId="11970" xr:uid="{5973BB2F-3E43-4BE8-B36C-78958710E0DE}"/>
    <cellStyle name="Normal 5 6 8" xfId="4840" xr:uid="{00000000-0005-0000-0000-0000C31B0000}"/>
    <cellStyle name="Normal 5 6 8 2" xfId="14122" xr:uid="{BE21F2FA-2BF6-487D-8CFC-0DE45E6336D6}"/>
    <cellStyle name="Normal 5 6 9" xfId="9905" xr:uid="{9C2DE2BD-D2F0-48D7-94B3-6C5407BB0CD6}"/>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682" xr:uid="{677FB149-F2D0-4696-99FE-A6772ADE6895}"/>
    <cellStyle name="Normal 5 7 2 2 3" xfId="12465" xr:uid="{87EC314D-DC8F-4F02-8463-7FE20BABCC4F}"/>
    <cellStyle name="Normal 5 7 2 3" xfId="5255" xr:uid="{00000000-0005-0000-0000-0000C81B0000}"/>
    <cellStyle name="Normal 5 7 2 3 2" xfId="14537" xr:uid="{93406593-3BBA-4719-8BB4-1ADF0DA6F454}"/>
    <cellStyle name="Normal 5 7 2 4" xfId="10320" xr:uid="{AF5B26FF-E73E-40CA-A03E-AAACA31C66AC}"/>
    <cellStyle name="Normal 5 7 2 5" xfId="9492" xr:uid="{0026DF81-A4DA-42F1-95A3-2C6CA6A19AEC}"/>
    <cellStyle name="Normal 5 7 3" xfId="1361" xr:uid="{00000000-0005-0000-0000-0000C91B0000}"/>
    <cellStyle name="Normal 5 7 3 2" xfId="3591" xr:uid="{00000000-0005-0000-0000-0000CA1B0000}"/>
    <cellStyle name="Normal 5 7 3 2 2" xfId="7813" xr:uid="{00000000-0005-0000-0000-0000CB1B0000}"/>
    <cellStyle name="Normal 5 7 3 2 2 2" xfId="17095" xr:uid="{B7F51DA8-3EBA-48DF-80C1-D4618D80C80A}"/>
    <cellStyle name="Normal 5 7 3 2 3" xfId="12878" xr:uid="{3A20A4C4-135B-486E-B2DC-371536EA7EAA}"/>
    <cellStyle name="Normal 5 7 3 3" xfId="5668" xr:uid="{00000000-0005-0000-0000-0000CC1B0000}"/>
    <cellStyle name="Normal 5 7 3 3 2" xfId="14950" xr:uid="{C85419BB-6C27-40B5-829E-8E356518987B}"/>
    <cellStyle name="Normal 5 7 3 4" xfId="10733" xr:uid="{B9605AF9-DC48-4D01-81F4-DD311CA51169}"/>
    <cellStyle name="Normal 5 7 4" xfId="1774" xr:uid="{00000000-0005-0000-0000-0000CD1B0000}"/>
    <cellStyle name="Normal 5 7 4 2" xfId="4004" xr:uid="{00000000-0005-0000-0000-0000CE1B0000}"/>
    <cellStyle name="Normal 5 7 4 2 2" xfId="8226" xr:uid="{00000000-0005-0000-0000-0000CF1B0000}"/>
    <cellStyle name="Normal 5 7 4 2 2 2" xfId="17508" xr:uid="{B05D808C-B1E9-446C-B758-482625A59489}"/>
    <cellStyle name="Normal 5 7 4 2 3" xfId="13291" xr:uid="{88BFF4A4-8B09-4BA3-A5C6-BC01204926FF}"/>
    <cellStyle name="Normal 5 7 4 3" xfId="6081" xr:uid="{00000000-0005-0000-0000-0000D01B0000}"/>
    <cellStyle name="Normal 5 7 4 3 2" xfId="15363" xr:uid="{FC1EA5E1-3BAF-4280-99AA-C9AE52BFCDDF}"/>
    <cellStyle name="Normal 5 7 4 4" xfId="11146" xr:uid="{15BF4627-7FF5-46D6-9FCD-4AC739C3308B}"/>
    <cellStyle name="Normal 5 7 5" xfId="2188" xr:uid="{00000000-0005-0000-0000-0000D11B0000}"/>
    <cellStyle name="Normal 5 7 5 2" xfId="4417" xr:uid="{00000000-0005-0000-0000-0000D21B0000}"/>
    <cellStyle name="Normal 5 7 5 2 2" xfId="8639" xr:uid="{00000000-0005-0000-0000-0000D31B0000}"/>
    <cellStyle name="Normal 5 7 5 2 2 2" xfId="17921" xr:uid="{7D754B41-81E0-4260-A2B1-5E01C479E371}"/>
    <cellStyle name="Normal 5 7 5 2 3" xfId="13704" xr:uid="{C4E31FBD-2E9A-4D9D-A69B-7A80D22FFAF8}"/>
    <cellStyle name="Normal 5 7 5 3" xfId="6494" xr:uid="{00000000-0005-0000-0000-0000D41B0000}"/>
    <cellStyle name="Normal 5 7 5 3 2" xfId="15776" xr:uid="{F4BC936B-DC35-43BD-82D6-D5F5532D53AE}"/>
    <cellStyle name="Normal 5 7 5 4" xfId="11559" xr:uid="{9A0C9C82-C7CE-4833-8161-6C0AB724DAFE}"/>
    <cellStyle name="Normal 5 7 6" xfId="2624" xr:uid="{00000000-0005-0000-0000-0000D51B0000}"/>
    <cellStyle name="Normal 5 7 6 2" xfId="6907" xr:uid="{00000000-0005-0000-0000-0000D61B0000}"/>
    <cellStyle name="Normal 5 7 6 2 2" xfId="16189" xr:uid="{C7E9C9E5-051B-4327-B16C-20365B11ADD5}"/>
    <cellStyle name="Normal 5 7 6 3" xfId="11972" xr:uid="{5785B836-B808-426B-B3ED-7D248DD10FC8}"/>
    <cellStyle name="Normal 5 7 7" xfId="4842" xr:uid="{00000000-0005-0000-0000-0000D71B0000}"/>
    <cellStyle name="Normal 5 7 7 2" xfId="14124" xr:uid="{5CF44815-E25A-4783-B4F8-FC2D8408679B}"/>
    <cellStyle name="Normal 5 7 8" xfId="9907" xr:uid="{5E45DF42-4643-48A5-A343-1CD2644651DF}"/>
    <cellStyle name="Normal 5 7 9" xfId="9073" xr:uid="{9577953D-C87C-41A3-8638-2787C6688C96}"/>
    <cellStyle name="Normal 5 8" xfId="880" xr:uid="{00000000-0005-0000-0000-0000D81B0000}"/>
    <cellStyle name="Normal 5 8 2" xfId="3115" xr:uid="{00000000-0005-0000-0000-0000D91B0000}"/>
    <cellStyle name="Normal 5 8 2 2" xfId="7337" xr:uid="{00000000-0005-0000-0000-0000DA1B0000}"/>
    <cellStyle name="Normal 5 8 2 2 2" xfId="16619" xr:uid="{2DE5C515-30FE-437D-972F-887E8005696B}"/>
    <cellStyle name="Normal 5 8 2 3" xfId="12402" xr:uid="{E6DB402D-0B4F-47F4-914D-DF196A73CEBD}"/>
    <cellStyle name="Normal 5 8 3" xfId="5192" xr:uid="{00000000-0005-0000-0000-0000DB1B0000}"/>
    <cellStyle name="Normal 5 8 3 2" xfId="14474" xr:uid="{1C36849C-9562-4A6D-9748-8AA35DB6DF76}"/>
    <cellStyle name="Normal 5 8 4" xfId="10257" xr:uid="{FD1CB2D2-0792-4776-9220-FC4331838B38}"/>
    <cellStyle name="Normal 5 8 5" xfId="9429" xr:uid="{3F4B41D5-1672-4756-A393-5C7777EFC8C0}"/>
    <cellStyle name="Normal 5 9" xfId="1298" xr:uid="{00000000-0005-0000-0000-0000DC1B0000}"/>
    <cellStyle name="Normal 5 9 2" xfId="3528" xr:uid="{00000000-0005-0000-0000-0000DD1B0000}"/>
    <cellStyle name="Normal 5 9 2 2" xfId="7750" xr:uid="{00000000-0005-0000-0000-0000DE1B0000}"/>
    <cellStyle name="Normal 5 9 2 2 2" xfId="17032" xr:uid="{CCAB279F-E039-4E13-B8F3-DA14A6DBF83D}"/>
    <cellStyle name="Normal 5 9 2 3" xfId="12815" xr:uid="{BB4DF74F-CAD6-497A-A299-544BEE1152CA}"/>
    <cellStyle name="Normal 5 9 3" xfId="5605" xr:uid="{00000000-0005-0000-0000-0000DF1B0000}"/>
    <cellStyle name="Normal 5 9 3 2" xfId="14887" xr:uid="{DBB939DD-E89D-4594-A938-75637EC66FE6}"/>
    <cellStyle name="Normal 5 9 4" xfId="10670" xr:uid="{FAE7C9AD-CFA8-467B-A752-AB3BC762F9B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22" xr:uid="{525ABB81-69D0-4F08-A5B7-5C9DDA7DB6F3}"/>
    <cellStyle name="Normal 8 10 2 3" xfId="13705" xr:uid="{C0A5A2AB-9029-4678-A83A-8014F39A5ED5}"/>
    <cellStyle name="Normal 8 10 3" xfId="6495" xr:uid="{00000000-0005-0000-0000-0000EB1B0000}"/>
    <cellStyle name="Normal 8 10 3 2" xfId="15777" xr:uid="{4D4DCA33-D886-4B5D-BFD9-45F5D128C7D1}"/>
    <cellStyle name="Normal 8 10 4" xfId="11560" xr:uid="{2BE41303-D07D-46C8-A2BF-BA2D9FA50271}"/>
    <cellStyle name="Normal 8 11" xfId="2625" xr:uid="{00000000-0005-0000-0000-0000EC1B0000}"/>
    <cellStyle name="Normal 8 11 2" xfId="6908" xr:uid="{00000000-0005-0000-0000-0000ED1B0000}"/>
    <cellStyle name="Normal 8 11 2 2" xfId="16190" xr:uid="{C2FE5ABA-993A-4234-990D-216A694C6766}"/>
    <cellStyle name="Normal 8 11 3" xfId="11973" xr:uid="{414C3CD4-1D88-4F26-B51F-4F16131DAECC}"/>
    <cellStyle name="Normal 8 12" xfId="4843" xr:uid="{00000000-0005-0000-0000-0000EE1B0000}"/>
    <cellStyle name="Normal 8 12 2" xfId="14125" xr:uid="{391EFA0A-2093-4C7B-A21B-FAC61F91DF1F}"/>
    <cellStyle name="Normal 8 13" xfId="9908" xr:uid="{1059DD52-A8FE-4057-A115-AEE45A555972}"/>
    <cellStyle name="Normal 8 14" xfId="9074" xr:uid="{4C79B421-30E1-4F0B-8BEF-6AD8DABA12BE}"/>
    <cellStyle name="Normal 8 2" xfId="479" xr:uid="{00000000-0005-0000-0000-0000EF1B0000}"/>
    <cellStyle name="Normal 8 2 10" xfId="2626" xr:uid="{00000000-0005-0000-0000-0000F01B0000}"/>
    <cellStyle name="Normal 8 2 10 2" xfId="6909" xr:uid="{00000000-0005-0000-0000-0000F11B0000}"/>
    <cellStyle name="Normal 8 2 10 2 2" xfId="16191" xr:uid="{2F543FFC-C377-415A-A8BD-08468C1A0F83}"/>
    <cellStyle name="Normal 8 2 10 3" xfId="11974" xr:uid="{9E1D2908-5DC4-4ED8-8435-D4CDBCBC1165}"/>
    <cellStyle name="Normal 8 2 11" xfId="4844" xr:uid="{00000000-0005-0000-0000-0000F21B0000}"/>
    <cellStyle name="Normal 8 2 11 2" xfId="14126" xr:uid="{EAFFD9FB-E3C0-4FC3-9130-5BD3329B60F8}"/>
    <cellStyle name="Normal 8 2 12" xfId="9909" xr:uid="{A041FD3B-62FF-423E-A26E-2D6B986DCB17}"/>
    <cellStyle name="Normal 8 2 13" xfId="9075" xr:uid="{395F2949-6535-427A-B463-124B0596A4EF}"/>
    <cellStyle name="Normal 8 2 2" xfId="480" xr:uid="{00000000-0005-0000-0000-0000F31B0000}"/>
    <cellStyle name="Normal 8 2 2 10" xfId="4845" xr:uid="{00000000-0005-0000-0000-0000F41B0000}"/>
    <cellStyle name="Normal 8 2 2 10 2" xfId="14127" xr:uid="{0AEC56E0-FEC1-4ADF-B507-64C9D3D5137D}"/>
    <cellStyle name="Normal 8 2 2 11" xfId="9910" xr:uid="{AB4DD6D4-108E-4974-9F3B-98CA3799B480}"/>
    <cellStyle name="Normal 8 2 2 12" xfId="9076" xr:uid="{5135FD10-0ED6-4FF4-ADAB-DB9D1004D066}"/>
    <cellStyle name="Normal 8 2 2 2" xfId="481" xr:uid="{00000000-0005-0000-0000-0000F51B0000}"/>
    <cellStyle name="Normal 8 2 2 2 10" xfId="9911" xr:uid="{6B36D7E8-CFF8-44A9-9981-167C53719CDD}"/>
    <cellStyle name="Normal 8 2 2 2 11" xfId="9077" xr:uid="{94A5BE14-26FE-44DB-8E3A-6DDC6B05B714}"/>
    <cellStyle name="Normal 8 2 2 2 2" xfId="482" xr:uid="{00000000-0005-0000-0000-0000F61B0000}"/>
    <cellStyle name="Normal 8 2 2 2 2 10" xfId="9078" xr:uid="{B8C76F32-DDD5-4D1D-96B9-4871921C0056}"/>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688" xr:uid="{8AAEE6BC-F9C7-496C-8652-E4E1F069A3DF}"/>
    <cellStyle name="Normal 8 2 2 2 2 2 2 2 3" xfId="12471" xr:uid="{89FD4C36-C179-461A-8329-368BDC5191CA}"/>
    <cellStyle name="Normal 8 2 2 2 2 2 2 3" xfId="5261" xr:uid="{00000000-0005-0000-0000-0000FB1B0000}"/>
    <cellStyle name="Normal 8 2 2 2 2 2 2 3 2" xfId="14543" xr:uid="{33F12F78-0B08-405D-B487-59F1294A8544}"/>
    <cellStyle name="Normal 8 2 2 2 2 2 2 4" xfId="10326" xr:uid="{10700DC5-C0A7-4782-B134-9B121ABDC18C}"/>
    <cellStyle name="Normal 8 2 2 2 2 2 2 5" xfId="9498" xr:uid="{6B9000E7-785A-46A8-87D8-5771F5D43EA2}"/>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01" xr:uid="{AC954D7C-BCEC-422F-8F71-C86EE78E5F81}"/>
    <cellStyle name="Normal 8 2 2 2 2 2 3 2 3" xfId="12884" xr:uid="{47F7D8C5-C796-4E89-9B6E-D8AB2D546F50}"/>
    <cellStyle name="Normal 8 2 2 2 2 2 3 3" xfId="5674" xr:uid="{00000000-0005-0000-0000-0000FF1B0000}"/>
    <cellStyle name="Normal 8 2 2 2 2 2 3 3 2" xfId="14956" xr:uid="{0C27536C-027D-4627-9015-9F0971741E65}"/>
    <cellStyle name="Normal 8 2 2 2 2 2 3 4" xfId="10739" xr:uid="{02B758EC-D9C6-42C7-B346-05E3D970467B}"/>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14" xr:uid="{BF6B6413-7D76-46AD-80EB-D617A609D843}"/>
    <cellStyle name="Normal 8 2 2 2 2 2 4 2 3" xfId="13297" xr:uid="{AD16BC18-7123-4E92-8CF9-7CC12AAD3B36}"/>
    <cellStyle name="Normal 8 2 2 2 2 2 4 3" xfId="6087" xr:uid="{00000000-0005-0000-0000-0000031C0000}"/>
    <cellStyle name="Normal 8 2 2 2 2 2 4 3 2" xfId="15369" xr:uid="{67D2F143-93B4-41F7-A964-00EE42AD4E71}"/>
    <cellStyle name="Normal 8 2 2 2 2 2 4 4" xfId="11152" xr:uid="{914B8676-CFD0-4E2C-AD67-14520449097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27" xr:uid="{4B053BA4-A385-46AF-A2A7-675C68CB1689}"/>
    <cellStyle name="Normal 8 2 2 2 2 2 5 2 3" xfId="13710" xr:uid="{0037A0D2-E38C-48C8-B2BC-E167A32117F5}"/>
    <cellStyle name="Normal 8 2 2 2 2 2 5 3" xfId="6500" xr:uid="{00000000-0005-0000-0000-0000071C0000}"/>
    <cellStyle name="Normal 8 2 2 2 2 2 5 3 2" xfId="15782" xr:uid="{48E11B1E-E4C2-4F96-92A7-91AEE3316A04}"/>
    <cellStyle name="Normal 8 2 2 2 2 2 5 4" xfId="11565" xr:uid="{064C5188-9AF7-4EBD-ADE7-825B5FF0FE37}"/>
    <cellStyle name="Normal 8 2 2 2 2 2 6" xfId="2630" xr:uid="{00000000-0005-0000-0000-0000081C0000}"/>
    <cellStyle name="Normal 8 2 2 2 2 2 6 2" xfId="6913" xr:uid="{00000000-0005-0000-0000-0000091C0000}"/>
    <cellStyle name="Normal 8 2 2 2 2 2 6 2 2" xfId="16195" xr:uid="{D61BB029-518D-415A-BD72-7ABD4EFCA7A6}"/>
    <cellStyle name="Normal 8 2 2 2 2 2 6 3" xfId="11978" xr:uid="{65D9E6B8-E65B-4486-B6FC-8D23BA39B07E}"/>
    <cellStyle name="Normal 8 2 2 2 2 2 7" xfId="4848" xr:uid="{00000000-0005-0000-0000-00000A1C0000}"/>
    <cellStyle name="Normal 8 2 2 2 2 2 7 2" xfId="14130" xr:uid="{7641737F-B4A7-436F-90AE-C9464D9254F9}"/>
    <cellStyle name="Normal 8 2 2 2 2 2 8" xfId="9913" xr:uid="{16335F74-BC87-4C40-AE84-AEECEEE34ED8}"/>
    <cellStyle name="Normal 8 2 2 2 2 2 9" xfId="9079" xr:uid="{7E0C4C1C-E961-409E-AD43-A2E48E9F27D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687" xr:uid="{79BC5029-943E-4A14-9385-0C1F0952CA47}"/>
    <cellStyle name="Normal 8 2 2 2 2 3 2 3" xfId="12470" xr:uid="{9B7001D7-D8A6-4C97-95C9-8C8585DA0D08}"/>
    <cellStyle name="Normal 8 2 2 2 2 3 3" xfId="5260" xr:uid="{00000000-0005-0000-0000-00000E1C0000}"/>
    <cellStyle name="Normal 8 2 2 2 2 3 3 2" xfId="14542" xr:uid="{14108BAA-8CEA-4A52-9612-3889286DE03A}"/>
    <cellStyle name="Normal 8 2 2 2 2 3 4" xfId="10325" xr:uid="{9DCD5A87-ACD7-444C-95C9-9EBABADE5326}"/>
    <cellStyle name="Normal 8 2 2 2 2 3 5" xfId="9497" xr:uid="{501222F5-0A22-4F04-AC9B-A5B2963CDAB6}"/>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00" xr:uid="{B0C42319-2FA2-46F3-9042-6A9AE14B38B3}"/>
    <cellStyle name="Normal 8 2 2 2 2 4 2 3" xfId="12883" xr:uid="{957E2767-881C-442C-A005-AEA2C88907F6}"/>
    <cellStyle name="Normal 8 2 2 2 2 4 3" xfId="5673" xr:uid="{00000000-0005-0000-0000-0000121C0000}"/>
    <cellStyle name="Normal 8 2 2 2 2 4 3 2" xfId="14955" xr:uid="{B92C1C8C-8942-4D45-812F-0B91DC7B342D}"/>
    <cellStyle name="Normal 8 2 2 2 2 4 4" xfId="10738" xr:uid="{A25E41F8-9FBC-4615-8C3D-B1564B012DE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13" xr:uid="{298C1C37-F121-45E6-8AB7-24179D8F392D}"/>
    <cellStyle name="Normal 8 2 2 2 2 5 2 3" xfId="13296" xr:uid="{EC011051-D5E6-479B-8FCC-7D56112F731F}"/>
    <cellStyle name="Normal 8 2 2 2 2 5 3" xfId="6086" xr:uid="{00000000-0005-0000-0000-0000161C0000}"/>
    <cellStyle name="Normal 8 2 2 2 2 5 3 2" xfId="15368" xr:uid="{7727517C-D520-4459-A884-5181778DEFB0}"/>
    <cellStyle name="Normal 8 2 2 2 2 5 4" xfId="11151" xr:uid="{DE4E5106-6C8E-45C8-A279-80177ABED3EC}"/>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26" xr:uid="{69C9A652-923A-49E8-87A0-430300D91FE4}"/>
    <cellStyle name="Normal 8 2 2 2 2 6 2 3" xfId="13709" xr:uid="{F67772EC-3CD0-45D9-8346-A1ABAFD13FBB}"/>
    <cellStyle name="Normal 8 2 2 2 2 6 3" xfId="6499" xr:uid="{00000000-0005-0000-0000-00001A1C0000}"/>
    <cellStyle name="Normal 8 2 2 2 2 6 3 2" xfId="15781" xr:uid="{4BAC0C1D-ACBB-4859-B7C7-E6E2DFB0B118}"/>
    <cellStyle name="Normal 8 2 2 2 2 6 4" xfId="11564" xr:uid="{5BC2BAFF-713B-4FB5-8874-F9431110BF81}"/>
    <cellStyle name="Normal 8 2 2 2 2 7" xfId="2629" xr:uid="{00000000-0005-0000-0000-00001B1C0000}"/>
    <cellStyle name="Normal 8 2 2 2 2 7 2" xfId="6912" xr:uid="{00000000-0005-0000-0000-00001C1C0000}"/>
    <cellStyle name="Normal 8 2 2 2 2 7 2 2" xfId="16194" xr:uid="{5CC48C42-425F-41A7-9281-6019E54D56EA}"/>
    <cellStyle name="Normal 8 2 2 2 2 7 3" xfId="11977" xr:uid="{11F3E20C-ED2D-4097-81CB-4CE6C5496C23}"/>
    <cellStyle name="Normal 8 2 2 2 2 8" xfId="4847" xr:uid="{00000000-0005-0000-0000-00001D1C0000}"/>
    <cellStyle name="Normal 8 2 2 2 2 8 2" xfId="14129" xr:uid="{171AB0B0-2895-4D91-AB6B-F5F9BE3E1D3A}"/>
    <cellStyle name="Normal 8 2 2 2 2 9" xfId="9912" xr:uid="{931B6908-8DC8-4C92-81B4-07283129214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689" xr:uid="{A362F8C2-B6FB-4833-A9E9-B90196EB8D91}"/>
    <cellStyle name="Normal 8 2 2 2 3 2 2 3" xfId="12472" xr:uid="{D14BC7C6-9F3E-47FB-866B-4261FAB7F74E}"/>
    <cellStyle name="Normal 8 2 2 2 3 2 3" xfId="5262" xr:uid="{00000000-0005-0000-0000-0000221C0000}"/>
    <cellStyle name="Normal 8 2 2 2 3 2 3 2" xfId="14544" xr:uid="{29D5921D-3EC7-4BD6-B3E0-DAAE6A97FF08}"/>
    <cellStyle name="Normal 8 2 2 2 3 2 4" xfId="10327" xr:uid="{7C83B89F-D283-43D6-A0F9-3DE146786D66}"/>
    <cellStyle name="Normal 8 2 2 2 3 2 5" xfId="9499" xr:uid="{A40AB12F-8D4C-49C0-B74B-30AC0FB6B148}"/>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02" xr:uid="{AB0E31D8-93AC-499D-947A-806487EEF265}"/>
    <cellStyle name="Normal 8 2 2 2 3 3 2 3" xfId="12885" xr:uid="{F84552C7-05C2-43C5-B639-5695B24FFF1C}"/>
    <cellStyle name="Normal 8 2 2 2 3 3 3" xfId="5675" xr:uid="{00000000-0005-0000-0000-0000261C0000}"/>
    <cellStyle name="Normal 8 2 2 2 3 3 3 2" xfId="14957" xr:uid="{BD6ED88D-5F5B-480E-B63E-611CAB113ED9}"/>
    <cellStyle name="Normal 8 2 2 2 3 3 4" xfId="10740" xr:uid="{B3F88D45-0845-4891-88C3-EED89514BAAE}"/>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15" xr:uid="{F0B65AD1-0297-4C3C-BF2B-C9A9D87B706C}"/>
    <cellStyle name="Normal 8 2 2 2 3 4 2 3" xfId="13298" xr:uid="{30E4E4D1-9233-4DE6-8917-991288D467F0}"/>
    <cellStyle name="Normal 8 2 2 2 3 4 3" xfId="6088" xr:uid="{00000000-0005-0000-0000-00002A1C0000}"/>
    <cellStyle name="Normal 8 2 2 2 3 4 3 2" xfId="15370" xr:uid="{280BFDBF-FB6C-4CE3-8C73-DABAF288D430}"/>
    <cellStyle name="Normal 8 2 2 2 3 4 4" xfId="11153" xr:uid="{68D19E28-9488-484A-BA3E-B62EB4F40045}"/>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28" xr:uid="{4BF10834-D319-4C26-A8D7-0BBE24EB6593}"/>
    <cellStyle name="Normal 8 2 2 2 3 5 2 3" xfId="13711" xr:uid="{E26450DC-75DC-4A45-A72C-F2E0FCEC7F73}"/>
    <cellStyle name="Normal 8 2 2 2 3 5 3" xfId="6501" xr:uid="{00000000-0005-0000-0000-00002E1C0000}"/>
    <cellStyle name="Normal 8 2 2 2 3 5 3 2" xfId="15783" xr:uid="{7850DAD0-C4AF-463D-BB22-9ABAE9FE130C}"/>
    <cellStyle name="Normal 8 2 2 2 3 5 4" xfId="11566" xr:uid="{CE4E4CC0-C02F-419E-9A57-960705355243}"/>
    <cellStyle name="Normal 8 2 2 2 3 6" xfId="2631" xr:uid="{00000000-0005-0000-0000-00002F1C0000}"/>
    <cellStyle name="Normal 8 2 2 2 3 6 2" xfId="6914" xr:uid="{00000000-0005-0000-0000-0000301C0000}"/>
    <cellStyle name="Normal 8 2 2 2 3 6 2 2" xfId="16196" xr:uid="{6DAD19BE-5AA9-4A5D-AF73-59B53B7C5F96}"/>
    <cellStyle name="Normal 8 2 2 2 3 6 3" xfId="11979" xr:uid="{02DF3705-C81D-4DE6-A8A4-A79F53D8D91B}"/>
    <cellStyle name="Normal 8 2 2 2 3 7" xfId="4849" xr:uid="{00000000-0005-0000-0000-0000311C0000}"/>
    <cellStyle name="Normal 8 2 2 2 3 7 2" xfId="14131" xr:uid="{7FC5217B-0440-4764-AACE-C1405F720E39}"/>
    <cellStyle name="Normal 8 2 2 2 3 8" xfId="9914" xr:uid="{DEB08572-C0B4-4355-931A-D615942A7B09}"/>
    <cellStyle name="Normal 8 2 2 2 3 9" xfId="9080" xr:uid="{436C8A33-2F29-43BA-A995-1764A7D5549E}"/>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686" xr:uid="{A8831857-FEC4-4E53-999A-5067CD3945CB}"/>
    <cellStyle name="Normal 8 2 2 2 4 2 3" xfId="12469" xr:uid="{6296A864-6104-449A-B835-67D9B6E2D491}"/>
    <cellStyle name="Normal 8 2 2 2 4 3" xfId="5259" xr:uid="{00000000-0005-0000-0000-0000351C0000}"/>
    <cellStyle name="Normal 8 2 2 2 4 3 2" xfId="14541" xr:uid="{B8D4E5AC-F9FA-445A-BC0B-D8A92307F859}"/>
    <cellStyle name="Normal 8 2 2 2 4 4" xfId="10324" xr:uid="{2EE5D2D2-CC24-4E86-9F1E-F867F865F19F}"/>
    <cellStyle name="Normal 8 2 2 2 4 5" xfId="9496" xr:uid="{4C038CDD-C67D-42C6-A924-4314B70FB140}"/>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099" xr:uid="{E4011406-FFEF-46DF-BE9C-390516D5B6EB}"/>
    <cellStyle name="Normal 8 2 2 2 5 2 3" xfId="12882" xr:uid="{BD2E28D3-6E12-4818-B186-0B09E6A78EB6}"/>
    <cellStyle name="Normal 8 2 2 2 5 3" xfId="5672" xr:uid="{00000000-0005-0000-0000-0000391C0000}"/>
    <cellStyle name="Normal 8 2 2 2 5 3 2" xfId="14954" xr:uid="{F9C4EB86-3913-4797-9CCD-CE7E20C8B7AB}"/>
    <cellStyle name="Normal 8 2 2 2 5 4" xfId="10737" xr:uid="{ED6C28B3-0232-494F-930A-B5E11064A2C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12" xr:uid="{AE8ABDA5-A63E-4CB8-8E4B-E2FCB82F8E52}"/>
    <cellStyle name="Normal 8 2 2 2 6 2 3" xfId="13295" xr:uid="{12FB4203-387C-4AF4-86E2-04B2E6707FDE}"/>
    <cellStyle name="Normal 8 2 2 2 6 3" xfId="6085" xr:uid="{00000000-0005-0000-0000-00003D1C0000}"/>
    <cellStyle name="Normal 8 2 2 2 6 3 2" xfId="15367" xr:uid="{CDE32346-8E8D-4135-A55F-CE1E1D15CBF3}"/>
    <cellStyle name="Normal 8 2 2 2 6 4" xfId="11150" xr:uid="{68ACD416-9C55-451F-B1B3-F45FD671556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25" xr:uid="{56DF897F-CF4E-48B2-9D7D-44F7BB3E18D7}"/>
    <cellStyle name="Normal 8 2 2 2 7 2 3" xfId="13708" xr:uid="{CFAD376E-B93A-495F-9CD1-CE01DC99998A}"/>
    <cellStyle name="Normal 8 2 2 2 7 3" xfId="6498" xr:uid="{00000000-0005-0000-0000-0000411C0000}"/>
    <cellStyle name="Normal 8 2 2 2 7 3 2" xfId="15780" xr:uid="{50C6F145-8CE1-428B-AE16-BA506C3F1D54}"/>
    <cellStyle name="Normal 8 2 2 2 7 4" xfId="11563" xr:uid="{6EF53A2E-1940-4F61-9770-34793D5689EB}"/>
    <cellStyle name="Normal 8 2 2 2 8" xfId="2628" xr:uid="{00000000-0005-0000-0000-0000421C0000}"/>
    <cellStyle name="Normal 8 2 2 2 8 2" xfId="6911" xr:uid="{00000000-0005-0000-0000-0000431C0000}"/>
    <cellStyle name="Normal 8 2 2 2 8 2 2" xfId="16193" xr:uid="{CC8ECA5B-B889-4061-8999-C1EE8F997CBA}"/>
    <cellStyle name="Normal 8 2 2 2 8 3" xfId="11976" xr:uid="{BBDE854C-E134-4770-A834-D59B5EB0B3C2}"/>
    <cellStyle name="Normal 8 2 2 2 9" xfId="4846" xr:uid="{00000000-0005-0000-0000-0000441C0000}"/>
    <cellStyle name="Normal 8 2 2 2 9 2" xfId="14128" xr:uid="{28F12BA1-1D0A-44EC-A157-15E4798C673E}"/>
    <cellStyle name="Normal 8 2 2 3" xfId="485" xr:uid="{00000000-0005-0000-0000-0000451C0000}"/>
    <cellStyle name="Normal 8 2 2 3 10" xfId="9081" xr:uid="{6C999F6E-14E1-4033-AFC1-007A48805587}"/>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691" xr:uid="{87D87A58-D2FA-47AE-8DB5-DDA9DAEA89B1}"/>
    <cellStyle name="Normal 8 2 2 3 2 2 2 3" xfId="12474" xr:uid="{94DE4B18-F77B-4449-B36C-905C1A937197}"/>
    <cellStyle name="Normal 8 2 2 3 2 2 3" xfId="5264" xr:uid="{00000000-0005-0000-0000-00004A1C0000}"/>
    <cellStyle name="Normal 8 2 2 3 2 2 3 2" xfId="14546" xr:uid="{657E01E7-0F73-471D-8A1A-006B04A4B627}"/>
    <cellStyle name="Normal 8 2 2 3 2 2 4" xfId="10329" xr:uid="{DA847233-08CB-4F62-A417-7EEEFE17064E}"/>
    <cellStyle name="Normal 8 2 2 3 2 2 5" xfId="9501" xr:uid="{4F92B9CC-F40E-420B-A6A0-96A8AEACA94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04" xr:uid="{54FB2C4D-2325-4009-8820-983DA0E759D1}"/>
    <cellStyle name="Normal 8 2 2 3 2 3 2 3" xfId="12887" xr:uid="{DC5EF983-C5C2-4E85-9DB1-A02A539E591C}"/>
    <cellStyle name="Normal 8 2 2 3 2 3 3" xfId="5677" xr:uid="{00000000-0005-0000-0000-00004E1C0000}"/>
    <cellStyle name="Normal 8 2 2 3 2 3 3 2" xfId="14959" xr:uid="{3FE7E3A4-B77E-48C6-B6BF-DF4CE9E6B1D6}"/>
    <cellStyle name="Normal 8 2 2 3 2 3 4" xfId="10742" xr:uid="{400CBAF3-90C2-4EE1-8517-B7103B0C833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17" xr:uid="{B0B38EB0-8502-4747-8CF1-071748B2C3CD}"/>
    <cellStyle name="Normal 8 2 2 3 2 4 2 3" xfId="13300" xr:uid="{EA0EF9A3-513C-40CF-83EF-6379D5A469DB}"/>
    <cellStyle name="Normal 8 2 2 3 2 4 3" xfId="6090" xr:uid="{00000000-0005-0000-0000-0000521C0000}"/>
    <cellStyle name="Normal 8 2 2 3 2 4 3 2" xfId="15372" xr:uid="{1516C660-EABB-4FBC-99CE-71E400646613}"/>
    <cellStyle name="Normal 8 2 2 3 2 4 4" xfId="11155" xr:uid="{7C5C1920-C15E-4D07-B806-028F61417ADA}"/>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30" xr:uid="{3EFF83F9-0DF8-45F1-839A-F58F4160256F}"/>
    <cellStyle name="Normal 8 2 2 3 2 5 2 3" xfId="13713" xr:uid="{6A14326D-BD12-4947-B366-90D067513722}"/>
    <cellStyle name="Normal 8 2 2 3 2 5 3" xfId="6503" xr:uid="{00000000-0005-0000-0000-0000561C0000}"/>
    <cellStyle name="Normal 8 2 2 3 2 5 3 2" xfId="15785" xr:uid="{67DF8658-EFA5-46E0-8596-6F9A2AF946CB}"/>
    <cellStyle name="Normal 8 2 2 3 2 5 4" xfId="11568" xr:uid="{F3922726-1FDD-4252-908B-EF5D3E593BB8}"/>
    <cellStyle name="Normal 8 2 2 3 2 6" xfId="2633" xr:uid="{00000000-0005-0000-0000-0000571C0000}"/>
    <cellStyle name="Normal 8 2 2 3 2 6 2" xfId="6916" xr:uid="{00000000-0005-0000-0000-0000581C0000}"/>
    <cellStyle name="Normal 8 2 2 3 2 6 2 2" xfId="16198" xr:uid="{E4A4E208-C152-4890-8914-8F57D4A56242}"/>
    <cellStyle name="Normal 8 2 2 3 2 6 3" xfId="11981" xr:uid="{FE967978-9395-403E-9955-602AB324DC06}"/>
    <cellStyle name="Normal 8 2 2 3 2 7" xfId="4851" xr:uid="{00000000-0005-0000-0000-0000591C0000}"/>
    <cellStyle name="Normal 8 2 2 3 2 7 2" xfId="14133" xr:uid="{8A96156E-B94C-482E-AAD6-A16219EB5C8A}"/>
    <cellStyle name="Normal 8 2 2 3 2 8" xfId="9916" xr:uid="{AEDF3187-A8B3-44B5-91F2-B4D5712CDA35}"/>
    <cellStyle name="Normal 8 2 2 3 2 9" xfId="9082" xr:uid="{5EB350D3-060C-4788-B46F-52A9A35C133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690" xr:uid="{C5F8A1F9-1C00-40F4-A4F5-E8C4A2FDD7E7}"/>
    <cellStyle name="Normal 8 2 2 3 3 2 3" xfId="12473" xr:uid="{A1634A21-ED8B-4F35-97C8-A7A3D38685F9}"/>
    <cellStyle name="Normal 8 2 2 3 3 3" xfId="5263" xr:uid="{00000000-0005-0000-0000-00005D1C0000}"/>
    <cellStyle name="Normal 8 2 2 3 3 3 2" xfId="14545" xr:uid="{3B493028-F3D0-48BA-9DCC-A89E24882690}"/>
    <cellStyle name="Normal 8 2 2 3 3 4" xfId="10328" xr:uid="{34885FDA-0496-4B5D-A1F1-5871DEC5FFC7}"/>
    <cellStyle name="Normal 8 2 2 3 3 5" xfId="9500" xr:uid="{E5F2CA4B-AE0F-49C4-97A4-729603A08305}"/>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03" xr:uid="{35732B94-F609-45DB-A4A8-3714388C5DB1}"/>
    <cellStyle name="Normal 8 2 2 3 4 2 3" xfId="12886" xr:uid="{BFABA372-35E4-4877-BE95-69E7795349D2}"/>
    <cellStyle name="Normal 8 2 2 3 4 3" xfId="5676" xr:uid="{00000000-0005-0000-0000-0000611C0000}"/>
    <cellStyle name="Normal 8 2 2 3 4 3 2" xfId="14958" xr:uid="{9A4BE639-7CC8-4CFF-AB75-10B1A034A384}"/>
    <cellStyle name="Normal 8 2 2 3 4 4" xfId="10741" xr:uid="{A3D0022A-3EB8-47BD-9186-856E1720008F}"/>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16" xr:uid="{2AF34FD5-08B9-412D-858F-9D78EDD6B195}"/>
    <cellStyle name="Normal 8 2 2 3 5 2 3" xfId="13299" xr:uid="{2D419391-F76D-40E4-9FFE-1043E6FFC5E8}"/>
    <cellStyle name="Normal 8 2 2 3 5 3" xfId="6089" xr:uid="{00000000-0005-0000-0000-0000651C0000}"/>
    <cellStyle name="Normal 8 2 2 3 5 3 2" xfId="15371" xr:uid="{8783FA2F-8D9A-4BB9-8ABF-766453F47620}"/>
    <cellStyle name="Normal 8 2 2 3 5 4" xfId="11154" xr:uid="{8652F054-DEB6-4A5C-94E4-CE8540CBE0F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29" xr:uid="{DBE89188-A047-45F3-9E78-4D95D7D244A0}"/>
    <cellStyle name="Normal 8 2 2 3 6 2 3" xfId="13712" xr:uid="{548A6169-90A6-48F3-AE6D-0DD7D13E8935}"/>
    <cellStyle name="Normal 8 2 2 3 6 3" xfId="6502" xr:uid="{00000000-0005-0000-0000-0000691C0000}"/>
    <cellStyle name="Normal 8 2 2 3 6 3 2" xfId="15784" xr:uid="{FD3ECCF8-6107-4251-B6F8-A43EE7C69220}"/>
    <cellStyle name="Normal 8 2 2 3 6 4" xfId="11567" xr:uid="{3E75538E-F215-48EB-880A-B109AE124D21}"/>
    <cellStyle name="Normal 8 2 2 3 7" xfId="2632" xr:uid="{00000000-0005-0000-0000-00006A1C0000}"/>
    <cellStyle name="Normal 8 2 2 3 7 2" xfId="6915" xr:uid="{00000000-0005-0000-0000-00006B1C0000}"/>
    <cellStyle name="Normal 8 2 2 3 7 2 2" xfId="16197" xr:uid="{E1DB17A2-5880-4985-8C90-F078EC1E738D}"/>
    <cellStyle name="Normal 8 2 2 3 7 3" xfId="11980" xr:uid="{F2285ED9-29A7-4D18-BA78-1A49D71F6167}"/>
    <cellStyle name="Normal 8 2 2 3 8" xfId="4850" xr:uid="{00000000-0005-0000-0000-00006C1C0000}"/>
    <cellStyle name="Normal 8 2 2 3 8 2" xfId="14132" xr:uid="{3ACBA3CA-1650-4442-9A07-80DDF04493D5}"/>
    <cellStyle name="Normal 8 2 2 3 9" xfId="9915" xr:uid="{00D1D714-81B0-4A93-8DE7-EE96A6A51DA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692" xr:uid="{F62780D7-DCBD-41D7-9678-DC8A427126BF}"/>
    <cellStyle name="Normal 8 2 2 4 2 2 3" xfId="12475" xr:uid="{0D0CDCA1-B3F7-4AA7-9B07-288F5EBA8084}"/>
    <cellStyle name="Normal 8 2 2 4 2 3" xfId="5265" xr:uid="{00000000-0005-0000-0000-0000711C0000}"/>
    <cellStyle name="Normal 8 2 2 4 2 3 2" xfId="14547" xr:uid="{8F52CBE1-9B56-404E-B7FE-94126D9F2D3C}"/>
    <cellStyle name="Normal 8 2 2 4 2 4" xfId="10330" xr:uid="{285919DF-F37B-4347-B6C0-B03436C011EA}"/>
    <cellStyle name="Normal 8 2 2 4 2 5" xfId="9502" xr:uid="{60B5230B-A3B3-48AF-BC63-7481AECB25D7}"/>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05" xr:uid="{99D50492-ABBC-4460-AF20-8FCD260474B0}"/>
    <cellStyle name="Normal 8 2 2 4 3 2 3" xfId="12888" xr:uid="{68AD16ED-246B-41A7-BBB8-8FED7FE0B443}"/>
    <cellStyle name="Normal 8 2 2 4 3 3" xfId="5678" xr:uid="{00000000-0005-0000-0000-0000751C0000}"/>
    <cellStyle name="Normal 8 2 2 4 3 3 2" xfId="14960" xr:uid="{2A42554B-8EB4-4D20-B4AA-D691FEF44604}"/>
    <cellStyle name="Normal 8 2 2 4 3 4" xfId="10743" xr:uid="{09A055A2-5A0E-4E88-A310-9050EC4C87E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18" xr:uid="{C0F4F6E9-D1DB-430A-A978-E02A9F00DF27}"/>
    <cellStyle name="Normal 8 2 2 4 4 2 3" xfId="13301" xr:uid="{4E630DA0-D979-4297-A40C-BAD9723C0669}"/>
    <cellStyle name="Normal 8 2 2 4 4 3" xfId="6091" xr:uid="{00000000-0005-0000-0000-0000791C0000}"/>
    <cellStyle name="Normal 8 2 2 4 4 3 2" xfId="15373" xr:uid="{1E584455-FFDA-4353-AFA3-842C2D5D426C}"/>
    <cellStyle name="Normal 8 2 2 4 4 4" xfId="11156" xr:uid="{9FF415B2-5ADE-4545-A634-801F34BA1B8C}"/>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31" xr:uid="{2CEC8423-2715-4849-8499-B9E7B570E419}"/>
    <cellStyle name="Normal 8 2 2 4 5 2 3" xfId="13714" xr:uid="{430320DF-6DF0-4AE3-A6A2-B39FCCC51A4C}"/>
    <cellStyle name="Normal 8 2 2 4 5 3" xfId="6504" xr:uid="{00000000-0005-0000-0000-00007D1C0000}"/>
    <cellStyle name="Normal 8 2 2 4 5 3 2" xfId="15786" xr:uid="{420D9DC1-D044-430C-B810-C28A15DF8285}"/>
    <cellStyle name="Normal 8 2 2 4 5 4" xfId="11569" xr:uid="{CF733330-4B15-4E15-94C7-113C20B21A8B}"/>
    <cellStyle name="Normal 8 2 2 4 6" xfId="2634" xr:uid="{00000000-0005-0000-0000-00007E1C0000}"/>
    <cellStyle name="Normal 8 2 2 4 6 2" xfId="6917" xr:uid="{00000000-0005-0000-0000-00007F1C0000}"/>
    <cellStyle name="Normal 8 2 2 4 6 2 2" xfId="16199" xr:uid="{8FDBBF81-2A56-498B-AC06-E6351FFECDBA}"/>
    <cellStyle name="Normal 8 2 2 4 6 3" xfId="11982" xr:uid="{57F1B9A5-1668-4111-B4E8-CD72B78548B7}"/>
    <cellStyle name="Normal 8 2 2 4 7" xfId="4852" xr:uid="{00000000-0005-0000-0000-0000801C0000}"/>
    <cellStyle name="Normal 8 2 2 4 7 2" xfId="14134" xr:uid="{F91B4564-C0FD-46CD-A7B5-EB6EAE8DA877}"/>
    <cellStyle name="Normal 8 2 2 4 8" xfId="9917" xr:uid="{640A189C-DD7D-42C2-AE78-C263A19EF936}"/>
    <cellStyle name="Normal 8 2 2 4 9" xfId="9083" xr:uid="{206EF836-7093-4942-8AA2-375E933AC90C}"/>
    <cellStyle name="Normal 8 2 2 5" xfId="947" xr:uid="{00000000-0005-0000-0000-0000811C0000}"/>
    <cellStyle name="Normal 8 2 2 5 2" xfId="3181" xr:uid="{00000000-0005-0000-0000-0000821C0000}"/>
    <cellStyle name="Normal 8 2 2 5 2 2" xfId="7403" xr:uid="{00000000-0005-0000-0000-0000831C0000}"/>
    <cellStyle name="Normal 8 2 2 5 2 2 2" xfId="16685" xr:uid="{A5223FEF-4EA2-46AB-8B84-6489A2D7A909}"/>
    <cellStyle name="Normal 8 2 2 5 2 3" xfId="12468" xr:uid="{FE92DB5A-3F69-4E59-86FF-76767AD37678}"/>
    <cellStyle name="Normal 8 2 2 5 3" xfId="5258" xr:uid="{00000000-0005-0000-0000-0000841C0000}"/>
    <cellStyle name="Normal 8 2 2 5 3 2" xfId="14540" xr:uid="{4C0FECB4-722E-4491-BCCF-4C748B244349}"/>
    <cellStyle name="Normal 8 2 2 5 4" xfId="10323" xr:uid="{E2B356D7-2D1A-4996-B956-6244BBCFEC5A}"/>
    <cellStyle name="Normal 8 2 2 5 5" xfId="9495" xr:uid="{93B649BC-1C08-4D97-A096-5B1C2C6AA20F}"/>
    <cellStyle name="Normal 8 2 2 6" xfId="1364" xr:uid="{00000000-0005-0000-0000-0000851C0000}"/>
    <cellStyle name="Normal 8 2 2 6 2" xfId="3594" xr:uid="{00000000-0005-0000-0000-0000861C0000}"/>
    <cellStyle name="Normal 8 2 2 6 2 2" xfId="7816" xr:uid="{00000000-0005-0000-0000-0000871C0000}"/>
    <cellStyle name="Normal 8 2 2 6 2 2 2" xfId="17098" xr:uid="{31BF4DBB-6354-496B-BA05-AD4576FAD6F8}"/>
    <cellStyle name="Normal 8 2 2 6 2 3" xfId="12881" xr:uid="{96747DED-F569-4FF9-AEA3-E8CB5FC8083F}"/>
    <cellStyle name="Normal 8 2 2 6 3" xfId="5671" xr:uid="{00000000-0005-0000-0000-0000881C0000}"/>
    <cellStyle name="Normal 8 2 2 6 3 2" xfId="14953" xr:uid="{3D3980DE-FC54-4832-8BC4-92CA94B4C23A}"/>
    <cellStyle name="Normal 8 2 2 6 4" xfId="10736" xr:uid="{7439878A-313C-49A0-97E8-00B4BC70801C}"/>
    <cellStyle name="Normal 8 2 2 7" xfId="1777" xr:uid="{00000000-0005-0000-0000-0000891C0000}"/>
    <cellStyle name="Normal 8 2 2 7 2" xfId="4007" xr:uid="{00000000-0005-0000-0000-00008A1C0000}"/>
    <cellStyle name="Normal 8 2 2 7 2 2" xfId="8229" xr:uid="{00000000-0005-0000-0000-00008B1C0000}"/>
    <cellStyle name="Normal 8 2 2 7 2 2 2" xfId="17511" xr:uid="{63AC6EE5-06B2-41A8-AAA4-B135B20A9797}"/>
    <cellStyle name="Normal 8 2 2 7 2 3" xfId="13294" xr:uid="{08693487-392F-4169-A21F-9830147FBCD4}"/>
    <cellStyle name="Normal 8 2 2 7 3" xfId="6084" xr:uid="{00000000-0005-0000-0000-00008C1C0000}"/>
    <cellStyle name="Normal 8 2 2 7 3 2" xfId="15366" xr:uid="{E438A7E3-BF5C-4ACB-9D1E-EC2A92420FF9}"/>
    <cellStyle name="Normal 8 2 2 7 4" xfId="11149" xr:uid="{C9A666BB-AFFD-414F-821E-63C2A16D8926}"/>
    <cellStyle name="Normal 8 2 2 8" xfId="2191" xr:uid="{00000000-0005-0000-0000-00008D1C0000}"/>
    <cellStyle name="Normal 8 2 2 8 2" xfId="4420" xr:uid="{00000000-0005-0000-0000-00008E1C0000}"/>
    <cellStyle name="Normal 8 2 2 8 2 2" xfId="8642" xr:uid="{00000000-0005-0000-0000-00008F1C0000}"/>
    <cellStyle name="Normal 8 2 2 8 2 2 2" xfId="17924" xr:uid="{652B0EB9-2AB2-4045-A064-A0B945FCA200}"/>
    <cellStyle name="Normal 8 2 2 8 2 3" xfId="13707" xr:uid="{0E2E8551-2737-42F5-9DD6-09F24D0047FA}"/>
    <cellStyle name="Normal 8 2 2 8 3" xfId="6497" xr:uid="{00000000-0005-0000-0000-0000901C0000}"/>
    <cellStyle name="Normal 8 2 2 8 3 2" xfId="15779" xr:uid="{646DC272-249F-4C00-ABA7-626F03CA0006}"/>
    <cellStyle name="Normal 8 2 2 8 4" xfId="11562" xr:uid="{DA653E5F-89DD-414A-A617-18B0A67C29D7}"/>
    <cellStyle name="Normal 8 2 2 9" xfId="2627" xr:uid="{00000000-0005-0000-0000-0000911C0000}"/>
    <cellStyle name="Normal 8 2 2 9 2" xfId="6910" xr:uid="{00000000-0005-0000-0000-0000921C0000}"/>
    <cellStyle name="Normal 8 2 2 9 2 2" xfId="16192" xr:uid="{99D9706C-B4AC-45D8-8198-A4CB2C19BA96}"/>
    <cellStyle name="Normal 8 2 2 9 3" xfId="11975" xr:uid="{12D5C56D-A3FD-4F0D-A202-668A4DCC0D32}"/>
    <cellStyle name="Normal 8 2 3" xfId="488" xr:uid="{00000000-0005-0000-0000-0000931C0000}"/>
    <cellStyle name="Normal 8 2 3 10" xfId="9918" xr:uid="{E6FBC511-DA63-4D9B-B36F-D71BB0085B67}"/>
    <cellStyle name="Normal 8 2 3 11" xfId="9084" xr:uid="{118F5D8E-A0D4-4E4A-9912-1A0A1B2EA8EB}"/>
    <cellStyle name="Normal 8 2 3 2" xfId="489" xr:uid="{00000000-0005-0000-0000-0000941C0000}"/>
    <cellStyle name="Normal 8 2 3 2 10" xfId="9085" xr:uid="{8C841517-EF71-4955-94FF-690DC0A254D4}"/>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695" xr:uid="{14C36D01-5960-42FB-A783-1D2913FD0B01}"/>
    <cellStyle name="Normal 8 2 3 2 2 2 2 3" xfId="12478" xr:uid="{842E92DE-C047-4BCA-8C4D-F30F07D35B65}"/>
    <cellStyle name="Normal 8 2 3 2 2 2 3" xfId="5268" xr:uid="{00000000-0005-0000-0000-0000991C0000}"/>
    <cellStyle name="Normal 8 2 3 2 2 2 3 2" xfId="14550" xr:uid="{F3E3BD2E-0402-42C0-A7A5-646AC0D0BE42}"/>
    <cellStyle name="Normal 8 2 3 2 2 2 4" xfId="10333" xr:uid="{980E1C12-9B31-41E7-BCEB-0A717BB08962}"/>
    <cellStyle name="Normal 8 2 3 2 2 2 5" xfId="9505" xr:uid="{9699E142-CF49-4C5B-830F-87D2087BC2A4}"/>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08" xr:uid="{70AAF461-3811-49C5-BB20-885767DA05A9}"/>
    <cellStyle name="Normal 8 2 3 2 2 3 2 3" xfId="12891" xr:uid="{923AFD46-DF47-4359-BF7D-17137BB9D203}"/>
    <cellStyle name="Normal 8 2 3 2 2 3 3" xfId="5681" xr:uid="{00000000-0005-0000-0000-00009D1C0000}"/>
    <cellStyle name="Normal 8 2 3 2 2 3 3 2" xfId="14963" xr:uid="{2566F174-D1AA-4089-8126-E65C0EE7F174}"/>
    <cellStyle name="Normal 8 2 3 2 2 3 4" xfId="10746" xr:uid="{793A0BFE-9D73-4C00-986E-2DC7AFD807D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21" xr:uid="{263770DE-A302-4CCA-84E0-47B7C2146A53}"/>
    <cellStyle name="Normal 8 2 3 2 2 4 2 3" xfId="13304" xr:uid="{3C513013-77DD-43E5-8282-87F00733397E}"/>
    <cellStyle name="Normal 8 2 3 2 2 4 3" xfId="6094" xr:uid="{00000000-0005-0000-0000-0000A11C0000}"/>
    <cellStyle name="Normal 8 2 3 2 2 4 3 2" xfId="15376" xr:uid="{63C3C8EB-281B-4FB5-A554-F0ED8C0BBFAD}"/>
    <cellStyle name="Normal 8 2 3 2 2 4 4" xfId="11159" xr:uid="{BFF52347-33A8-4CEF-960A-D7F76B33DE83}"/>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34" xr:uid="{6ED4905E-9083-47B0-A2F5-5799F1FE2A36}"/>
    <cellStyle name="Normal 8 2 3 2 2 5 2 3" xfId="13717" xr:uid="{DF53C479-268E-4BFB-9C6B-A194A017A279}"/>
    <cellStyle name="Normal 8 2 3 2 2 5 3" xfId="6507" xr:uid="{00000000-0005-0000-0000-0000A51C0000}"/>
    <cellStyle name="Normal 8 2 3 2 2 5 3 2" xfId="15789" xr:uid="{8BBE9525-2A5A-4E02-9F51-0B1805C61DBB}"/>
    <cellStyle name="Normal 8 2 3 2 2 5 4" xfId="11572" xr:uid="{6AA88880-18C5-43E4-B118-EE44B9E573C4}"/>
    <cellStyle name="Normal 8 2 3 2 2 6" xfId="2637" xr:uid="{00000000-0005-0000-0000-0000A61C0000}"/>
    <cellStyle name="Normal 8 2 3 2 2 6 2" xfId="6920" xr:uid="{00000000-0005-0000-0000-0000A71C0000}"/>
    <cellStyle name="Normal 8 2 3 2 2 6 2 2" xfId="16202" xr:uid="{7BBFECE3-2029-48FF-96D1-26A573D0D3FA}"/>
    <cellStyle name="Normal 8 2 3 2 2 6 3" xfId="11985" xr:uid="{750F2CC2-3964-4E35-9AF9-7F48C8CC4AF3}"/>
    <cellStyle name="Normal 8 2 3 2 2 7" xfId="4855" xr:uid="{00000000-0005-0000-0000-0000A81C0000}"/>
    <cellStyle name="Normal 8 2 3 2 2 7 2" xfId="14137" xr:uid="{AEB9D6D5-218A-4626-916A-0F2832B8D5E4}"/>
    <cellStyle name="Normal 8 2 3 2 2 8" xfId="9920" xr:uid="{BF9F8783-62B1-4D4B-A0D5-D1D45BCC3B36}"/>
    <cellStyle name="Normal 8 2 3 2 2 9" xfId="9086" xr:uid="{41B8F7C9-B5ED-4892-9B9C-71DA02CFB143}"/>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694" xr:uid="{57540C23-E380-4F80-8D7C-AA3F0E34BF32}"/>
    <cellStyle name="Normal 8 2 3 2 3 2 3" xfId="12477" xr:uid="{294EE8AD-0A74-4292-B744-BEBE4F35D033}"/>
    <cellStyle name="Normal 8 2 3 2 3 3" xfId="5267" xr:uid="{00000000-0005-0000-0000-0000AC1C0000}"/>
    <cellStyle name="Normal 8 2 3 2 3 3 2" xfId="14549" xr:uid="{F7DFB008-FC76-46A7-99CF-C2B2C77AE750}"/>
    <cellStyle name="Normal 8 2 3 2 3 4" xfId="10332" xr:uid="{39D4A683-BC73-46CB-A9DA-9D4AFE43AC47}"/>
    <cellStyle name="Normal 8 2 3 2 3 5" xfId="9504" xr:uid="{C90E1063-0A3C-497D-B840-E0A79DA2E742}"/>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07" xr:uid="{20D29721-F12F-4D41-919F-8F72BEA4C86C}"/>
    <cellStyle name="Normal 8 2 3 2 4 2 3" xfId="12890" xr:uid="{48C63056-104C-44BF-89E7-8D0FFCFA2E61}"/>
    <cellStyle name="Normal 8 2 3 2 4 3" xfId="5680" xr:uid="{00000000-0005-0000-0000-0000B01C0000}"/>
    <cellStyle name="Normal 8 2 3 2 4 3 2" xfId="14962" xr:uid="{40EE7C0D-9868-4DFB-8C43-3865B45BE0ED}"/>
    <cellStyle name="Normal 8 2 3 2 4 4" xfId="10745" xr:uid="{2709034B-6F2A-4831-9BA1-7BB949423C9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20" xr:uid="{DC116B77-61FE-4684-B3CA-C62499221B12}"/>
    <cellStyle name="Normal 8 2 3 2 5 2 3" xfId="13303" xr:uid="{11799508-8565-4E55-9398-9561FB9CB283}"/>
    <cellStyle name="Normal 8 2 3 2 5 3" xfId="6093" xr:uid="{00000000-0005-0000-0000-0000B41C0000}"/>
    <cellStyle name="Normal 8 2 3 2 5 3 2" xfId="15375" xr:uid="{3944A315-32F0-49BE-B82E-F955409CE825}"/>
    <cellStyle name="Normal 8 2 3 2 5 4" xfId="11158" xr:uid="{281C3E21-448A-41F6-86C6-A911301CFB52}"/>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33" xr:uid="{C3D7B215-CE32-4B22-AE29-1890D4507447}"/>
    <cellStyle name="Normal 8 2 3 2 6 2 3" xfId="13716" xr:uid="{CB49B954-E722-44E7-93F4-CC5E14A14F09}"/>
    <cellStyle name="Normal 8 2 3 2 6 3" xfId="6506" xr:uid="{00000000-0005-0000-0000-0000B81C0000}"/>
    <cellStyle name="Normal 8 2 3 2 6 3 2" xfId="15788" xr:uid="{B8595A6B-7FA7-49E9-B2D0-52B222A7E804}"/>
    <cellStyle name="Normal 8 2 3 2 6 4" xfId="11571" xr:uid="{6BE6BDC8-027F-409F-A7C5-61055FFCEC7A}"/>
    <cellStyle name="Normal 8 2 3 2 7" xfId="2636" xr:uid="{00000000-0005-0000-0000-0000B91C0000}"/>
    <cellStyle name="Normal 8 2 3 2 7 2" xfId="6919" xr:uid="{00000000-0005-0000-0000-0000BA1C0000}"/>
    <cellStyle name="Normal 8 2 3 2 7 2 2" xfId="16201" xr:uid="{1CA83488-1B63-49D8-BB19-80A6C7959243}"/>
    <cellStyle name="Normal 8 2 3 2 7 3" xfId="11984" xr:uid="{FDEF1463-CF0B-44B1-9691-FE9ACA8F7465}"/>
    <cellStyle name="Normal 8 2 3 2 8" xfId="4854" xr:uid="{00000000-0005-0000-0000-0000BB1C0000}"/>
    <cellStyle name="Normal 8 2 3 2 8 2" xfId="14136" xr:uid="{AD24BBA6-7088-4EC4-AD5A-20D3018FE2C9}"/>
    <cellStyle name="Normal 8 2 3 2 9" xfId="9919" xr:uid="{87F6A740-8838-4149-B882-06EEE834D5C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696" xr:uid="{A7B5AB20-60AA-4321-ABA8-923DD02C596B}"/>
    <cellStyle name="Normal 8 2 3 3 2 2 3" xfId="12479" xr:uid="{6E337624-0C30-4C7F-A308-6B572B1E2F0C}"/>
    <cellStyle name="Normal 8 2 3 3 2 3" xfId="5269" xr:uid="{00000000-0005-0000-0000-0000C01C0000}"/>
    <cellStyle name="Normal 8 2 3 3 2 3 2" xfId="14551" xr:uid="{27357A0E-978E-463D-B34C-55099BD91414}"/>
    <cellStyle name="Normal 8 2 3 3 2 4" xfId="10334" xr:uid="{2F91CAAC-7C8A-4197-922D-52B301DCFF30}"/>
    <cellStyle name="Normal 8 2 3 3 2 5" xfId="9506" xr:uid="{10207B59-7C2C-4E72-B86C-79C2848F7B7B}"/>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09" xr:uid="{90251659-80F3-4D9D-97AD-68336FAC57F2}"/>
    <cellStyle name="Normal 8 2 3 3 3 2 3" xfId="12892" xr:uid="{682F6A71-DA61-4F63-B8CB-4D894FF50DAF}"/>
    <cellStyle name="Normal 8 2 3 3 3 3" xfId="5682" xr:uid="{00000000-0005-0000-0000-0000C41C0000}"/>
    <cellStyle name="Normal 8 2 3 3 3 3 2" xfId="14964" xr:uid="{9E870295-0507-4AF4-B39D-4E6F6FA59C70}"/>
    <cellStyle name="Normal 8 2 3 3 3 4" xfId="10747" xr:uid="{6ED807DB-F5DB-4167-B246-E04C5EDB2D65}"/>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22" xr:uid="{C01A5897-D33F-4A22-A665-9CF9675215F6}"/>
    <cellStyle name="Normal 8 2 3 3 4 2 3" xfId="13305" xr:uid="{5DAE6674-C640-4EBC-9983-9AE03013F681}"/>
    <cellStyle name="Normal 8 2 3 3 4 3" xfId="6095" xr:uid="{00000000-0005-0000-0000-0000C81C0000}"/>
    <cellStyle name="Normal 8 2 3 3 4 3 2" xfId="15377" xr:uid="{A224FE4E-C904-42E2-AF6A-E5A7CB559BD4}"/>
    <cellStyle name="Normal 8 2 3 3 4 4" xfId="11160" xr:uid="{C8279478-75DA-4911-8FB8-751B0041984D}"/>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35" xr:uid="{1870FFDD-8334-4A71-99D5-29D34572D9BC}"/>
    <cellStyle name="Normal 8 2 3 3 5 2 3" xfId="13718" xr:uid="{C30A4622-A0B5-42BB-84E6-3ECB028ABFFC}"/>
    <cellStyle name="Normal 8 2 3 3 5 3" xfId="6508" xr:uid="{00000000-0005-0000-0000-0000CC1C0000}"/>
    <cellStyle name="Normal 8 2 3 3 5 3 2" xfId="15790" xr:uid="{8A1E62F7-3DDF-4878-909B-5F7E7862AF50}"/>
    <cellStyle name="Normal 8 2 3 3 5 4" xfId="11573" xr:uid="{87809B0D-5B53-4F40-B4C4-015A26A79321}"/>
    <cellStyle name="Normal 8 2 3 3 6" xfId="2638" xr:uid="{00000000-0005-0000-0000-0000CD1C0000}"/>
    <cellStyle name="Normal 8 2 3 3 6 2" xfId="6921" xr:uid="{00000000-0005-0000-0000-0000CE1C0000}"/>
    <cellStyle name="Normal 8 2 3 3 6 2 2" xfId="16203" xr:uid="{BD469F3F-30B2-466C-AFB6-79799E70AA21}"/>
    <cellStyle name="Normal 8 2 3 3 6 3" xfId="11986" xr:uid="{77DDE14A-107D-4D0D-9ED8-F3F5C8AFDC52}"/>
    <cellStyle name="Normal 8 2 3 3 7" xfId="4856" xr:uid="{00000000-0005-0000-0000-0000CF1C0000}"/>
    <cellStyle name="Normal 8 2 3 3 7 2" xfId="14138" xr:uid="{80E49B38-2445-4260-843D-49CD3B7C0C18}"/>
    <cellStyle name="Normal 8 2 3 3 8" xfId="9921" xr:uid="{E45C69EC-1670-4A89-AD7D-56D354F3D16C}"/>
    <cellStyle name="Normal 8 2 3 3 9" xfId="9087" xr:uid="{B68DBCAC-5E5D-4F48-845C-A3928B8D87D6}"/>
    <cellStyle name="Normal 8 2 3 4" xfId="955" xr:uid="{00000000-0005-0000-0000-0000D01C0000}"/>
    <cellStyle name="Normal 8 2 3 4 2" xfId="3189" xr:uid="{00000000-0005-0000-0000-0000D11C0000}"/>
    <cellStyle name="Normal 8 2 3 4 2 2" xfId="7411" xr:uid="{00000000-0005-0000-0000-0000D21C0000}"/>
    <cellStyle name="Normal 8 2 3 4 2 2 2" xfId="16693" xr:uid="{0D074BC2-7520-48BD-88C9-5CB87C81EB73}"/>
    <cellStyle name="Normal 8 2 3 4 2 3" xfId="12476" xr:uid="{D8FFA669-1AB0-4079-B413-18983DAA38AE}"/>
    <cellStyle name="Normal 8 2 3 4 3" xfId="5266" xr:uid="{00000000-0005-0000-0000-0000D31C0000}"/>
    <cellStyle name="Normal 8 2 3 4 3 2" xfId="14548" xr:uid="{7912673D-4C73-4E44-A29C-1C10A2CCF1E9}"/>
    <cellStyle name="Normal 8 2 3 4 4" xfId="10331" xr:uid="{B6445483-ECC3-4C0D-978A-0CDA09795D0B}"/>
    <cellStyle name="Normal 8 2 3 4 5" xfId="9503" xr:uid="{4B8A9650-4A82-47FE-A8D9-84BF53535DE0}"/>
    <cellStyle name="Normal 8 2 3 5" xfId="1372" xr:uid="{00000000-0005-0000-0000-0000D41C0000}"/>
    <cellStyle name="Normal 8 2 3 5 2" xfId="3602" xr:uid="{00000000-0005-0000-0000-0000D51C0000}"/>
    <cellStyle name="Normal 8 2 3 5 2 2" xfId="7824" xr:uid="{00000000-0005-0000-0000-0000D61C0000}"/>
    <cellStyle name="Normal 8 2 3 5 2 2 2" xfId="17106" xr:uid="{A4EB4EB4-A570-4F48-A75C-34E47DFEACCF}"/>
    <cellStyle name="Normal 8 2 3 5 2 3" xfId="12889" xr:uid="{0497DACB-2374-46C8-ACBF-8152F86944E4}"/>
    <cellStyle name="Normal 8 2 3 5 3" xfId="5679" xr:uid="{00000000-0005-0000-0000-0000D71C0000}"/>
    <cellStyle name="Normal 8 2 3 5 3 2" xfId="14961" xr:uid="{4F99B64E-36C2-47BB-A5CA-4670DA2AEEA2}"/>
    <cellStyle name="Normal 8 2 3 5 4" xfId="10744" xr:uid="{D672FFD9-1C97-43C2-B45E-EB01A319227E}"/>
    <cellStyle name="Normal 8 2 3 6" xfId="1785" xr:uid="{00000000-0005-0000-0000-0000D81C0000}"/>
    <cellStyle name="Normal 8 2 3 6 2" xfId="4015" xr:uid="{00000000-0005-0000-0000-0000D91C0000}"/>
    <cellStyle name="Normal 8 2 3 6 2 2" xfId="8237" xr:uid="{00000000-0005-0000-0000-0000DA1C0000}"/>
    <cellStyle name="Normal 8 2 3 6 2 2 2" xfId="17519" xr:uid="{3A6F4C50-3EB6-4AE1-951A-EB41C3A4CBB4}"/>
    <cellStyle name="Normal 8 2 3 6 2 3" xfId="13302" xr:uid="{E9CDC6CD-3E82-40D6-B79B-D61D1764D9EA}"/>
    <cellStyle name="Normal 8 2 3 6 3" xfId="6092" xr:uid="{00000000-0005-0000-0000-0000DB1C0000}"/>
    <cellStyle name="Normal 8 2 3 6 3 2" xfId="15374" xr:uid="{3B15CF00-D4E1-4394-BA1F-5062BD647696}"/>
    <cellStyle name="Normal 8 2 3 6 4" xfId="11157" xr:uid="{3DF2F4FC-8F90-44A2-959B-ED982DF91F2E}"/>
    <cellStyle name="Normal 8 2 3 7" xfId="2199" xr:uid="{00000000-0005-0000-0000-0000DC1C0000}"/>
    <cellStyle name="Normal 8 2 3 7 2" xfId="4428" xr:uid="{00000000-0005-0000-0000-0000DD1C0000}"/>
    <cellStyle name="Normal 8 2 3 7 2 2" xfId="8650" xr:uid="{00000000-0005-0000-0000-0000DE1C0000}"/>
    <cellStyle name="Normal 8 2 3 7 2 2 2" xfId="17932" xr:uid="{03F9BE5D-9F3F-43FB-B4E9-DC313BAA794A}"/>
    <cellStyle name="Normal 8 2 3 7 2 3" xfId="13715" xr:uid="{4A7A2E3C-A541-448E-8041-22DDE17D6461}"/>
    <cellStyle name="Normal 8 2 3 7 3" xfId="6505" xr:uid="{00000000-0005-0000-0000-0000DF1C0000}"/>
    <cellStyle name="Normal 8 2 3 7 3 2" xfId="15787" xr:uid="{50D5DA67-F3C4-4598-9FC5-4BCE4225A562}"/>
    <cellStyle name="Normal 8 2 3 7 4" xfId="11570" xr:uid="{F17EEC5B-4A8B-47D6-AF9C-B62E16B14989}"/>
    <cellStyle name="Normal 8 2 3 8" xfId="2635" xr:uid="{00000000-0005-0000-0000-0000E01C0000}"/>
    <cellStyle name="Normal 8 2 3 8 2" xfId="6918" xr:uid="{00000000-0005-0000-0000-0000E11C0000}"/>
    <cellStyle name="Normal 8 2 3 8 2 2" xfId="16200" xr:uid="{AC05164D-1D8F-4E91-BE7D-F9E28252797A}"/>
    <cellStyle name="Normal 8 2 3 8 3" xfId="11983" xr:uid="{5D0736A4-309F-4684-8D49-05094B963CB5}"/>
    <cellStyle name="Normal 8 2 3 9" xfId="4853" xr:uid="{00000000-0005-0000-0000-0000E21C0000}"/>
    <cellStyle name="Normal 8 2 3 9 2" xfId="14135" xr:uid="{85995C7C-9ADA-46A0-A7AA-2A7AB4A18FFA}"/>
    <cellStyle name="Normal 8 2 4" xfId="492" xr:uid="{00000000-0005-0000-0000-0000E31C0000}"/>
    <cellStyle name="Normal 8 2 4 10" xfId="9088" xr:uid="{3A5DD177-D690-4ADF-B8B3-FE243D76B308}"/>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698" xr:uid="{D3122AF6-FCEE-43CB-9A8D-E3BC74E6FDEF}"/>
    <cellStyle name="Normal 8 2 4 2 2 2 3" xfId="12481" xr:uid="{C8F16FE8-B4C3-489C-98E9-544D3249B03D}"/>
    <cellStyle name="Normal 8 2 4 2 2 3" xfId="5271" xr:uid="{00000000-0005-0000-0000-0000E81C0000}"/>
    <cellStyle name="Normal 8 2 4 2 2 3 2" xfId="14553" xr:uid="{559D110D-7DEF-4F31-8DA7-D443EEED72C1}"/>
    <cellStyle name="Normal 8 2 4 2 2 4" xfId="10336" xr:uid="{65AD939C-E865-4099-9E0D-27753016AFF5}"/>
    <cellStyle name="Normal 8 2 4 2 2 5" xfId="9508" xr:uid="{CA763C9E-6099-401B-A289-31BBCCC1D56B}"/>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11" xr:uid="{461C723F-9C10-4FB4-9310-DC1C237497F3}"/>
    <cellStyle name="Normal 8 2 4 2 3 2 3" xfId="12894" xr:uid="{D88B1D5A-35DF-4B25-99E0-3A5F505CA558}"/>
    <cellStyle name="Normal 8 2 4 2 3 3" xfId="5684" xr:uid="{00000000-0005-0000-0000-0000EC1C0000}"/>
    <cellStyle name="Normal 8 2 4 2 3 3 2" xfId="14966" xr:uid="{ECFA5DBF-EA61-4CFB-8024-E44458ACC10D}"/>
    <cellStyle name="Normal 8 2 4 2 3 4" xfId="10749" xr:uid="{B47037D9-B743-4B78-8FB7-7EA3AD5C749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24" xr:uid="{9677CEFB-4BFB-4671-AD2B-47230DC66B49}"/>
    <cellStyle name="Normal 8 2 4 2 4 2 3" xfId="13307" xr:uid="{106E3FBC-FC5C-4E82-ABC3-FABA6365CB78}"/>
    <cellStyle name="Normal 8 2 4 2 4 3" xfId="6097" xr:uid="{00000000-0005-0000-0000-0000F01C0000}"/>
    <cellStyle name="Normal 8 2 4 2 4 3 2" xfId="15379" xr:uid="{4EB8446C-EBFB-4AFC-85E7-4247F848706A}"/>
    <cellStyle name="Normal 8 2 4 2 4 4" xfId="11162" xr:uid="{F4F849A8-8F1E-4E9D-A88E-CE1A916663B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37" xr:uid="{A8C51226-B324-4B59-98B8-29CEFD058E47}"/>
    <cellStyle name="Normal 8 2 4 2 5 2 3" xfId="13720" xr:uid="{EB6364C9-CCA6-4B66-AC9E-9B31E4F7FF26}"/>
    <cellStyle name="Normal 8 2 4 2 5 3" xfId="6510" xr:uid="{00000000-0005-0000-0000-0000F41C0000}"/>
    <cellStyle name="Normal 8 2 4 2 5 3 2" xfId="15792" xr:uid="{1707F725-1560-4C77-B49A-547931CE75E3}"/>
    <cellStyle name="Normal 8 2 4 2 5 4" xfId="11575" xr:uid="{7CF7E015-60D0-417A-895D-BE86A2508D3D}"/>
    <cellStyle name="Normal 8 2 4 2 6" xfId="2640" xr:uid="{00000000-0005-0000-0000-0000F51C0000}"/>
    <cellStyle name="Normal 8 2 4 2 6 2" xfId="6923" xr:uid="{00000000-0005-0000-0000-0000F61C0000}"/>
    <cellStyle name="Normal 8 2 4 2 6 2 2" xfId="16205" xr:uid="{D720B563-03F4-4FE5-81CD-C1C6D8560246}"/>
    <cellStyle name="Normal 8 2 4 2 6 3" xfId="11988" xr:uid="{00C5E3A4-7242-4C35-9AF5-5762EDBF6E07}"/>
    <cellStyle name="Normal 8 2 4 2 7" xfId="4858" xr:uid="{00000000-0005-0000-0000-0000F71C0000}"/>
    <cellStyle name="Normal 8 2 4 2 7 2" xfId="14140" xr:uid="{4DD93009-6846-45E7-B743-656BD905872E}"/>
    <cellStyle name="Normal 8 2 4 2 8" xfId="9923" xr:uid="{982E9BB6-01E0-481A-B898-616EF94AC6DB}"/>
    <cellStyle name="Normal 8 2 4 2 9" xfId="9089" xr:uid="{D484E3C2-937E-49F2-885A-F0AC9699623C}"/>
    <cellStyle name="Normal 8 2 4 3" xfId="959" xr:uid="{00000000-0005-0000-0000-0000F81C0000}"/>
    <cellStyle name="Normal 8 2 4 3 2" xfId="3193" xr:uid="{00000000-0005-0000-0000-0000F91C0000}"/>
    <cellStyle name="Normal 8 2 4 3 2 2" xfId="7415" xr:uid="{00000000-0005-0000-0000-0000FA1C0000}"/>
    <cellStyle name="Normal 8 2 4 3 2 2 2" xfId="16697" xr:uid="{046C6AA2-2541-45A5-91F1-582E25C6ADF4}"/>
    <cellStyle name="Normal 8 2 4 3 2 3" xfId="12480" xr:uid="{7529DD3E-0CF8-4AE6-90B7-8D5441D8D9D5}"/>
    <cellStyle name="Normal 8 2 4 3 3" xfId="5270" xr:uid="{00000000-0005-0000-0000-0000FB1C0000}"/>
    <cellStyle name="Normal 8 2 4 3 3 2" xfId="14552" xr:uid="{69628E0F-01E7-435F-B8C4-C712E9BA47D3}"/>
    <cellStyle name="Normal 8 2 4 3 4" xfId="10335" xr:uid="{F3A07B89-B279-457B-885E-30B1ADF545CE}"/>
    <cellStyle name="Normal 8 2 4 3 5" xfId="9507" xr:uid="{23B41834-7E56-44CB-B5B5-864C1A296870}"/>
    <cellStyle name="Normal 8 2 4 4" xfId="1376" xr:uid="{00000000-0005-0000-0000-0000FC1C0000}"/>
    <cellStyle name="Normal 8 2 4 4 2" xfId="3606" xr:uid="{00000000-0005-0000-0000-0000FD1C0000}"/>
    <cellStyle name="Normal 8 2 4 4 2 2" xfId="7828" xr:uid="{00000000-0005-0000-0000-0000FE1C0000}"/>
    <cellStyle name="Normal 8 2 4 4 2 2 2" xfId="17110" xr:uid="{7371943D-D691-4EAB-AC93-2C1A2D26BF8E}"/>
    <cellStyle name="Normal 8 2 4 4 2 3" xfId="12893" xr:uid="{95B02C94-1819-4A55-BD4D-6BD27CF8D723}"/>
    <cellStyle name="Normal 8 2 4 4 3" xfId="5683" xr:uid="{00000000-0005-0000-0000-0000FF1C0000}"/>
    <cellStyle name="Normal 8 2 4 4 3 2" xfId="14965" xr:uid="{0BB61D22-A410-44C8-8CA8-364E123E173D}"/>
    <cellStyle name="Normal 8 2 4 4 4" xfId="10748" xr:uid="{2A41D0EA-641E-46BF-B9FF-E188FD286238}"/>
    <cellStyle name="Normal 8 2 4 5" xfId="1789" xr:uid="{00000000-0005-0000-0000-0000001D0000}"/>
    <cellStyle name="Normal 8 2 4 5 2" xfId="4019" xr:uid="{00000000-0005-0000-0000-0000011D0000}"/>
    <cellStyle name="Normal 8 2 4 5 2 2" xfId="8241" xr:uid="{00000000-0005-0000-0000-0000021D0000}"/>
    <cellStyle name="Normal 8 2 4 5 2 2 2" xfId="17523" xr:uid="{5AF11970-E3F5-4CC6-89E8-F3170DE19989}"/>
    <cellStyle name="Normal 8 2 4 5 2 3" xfId="13306" xr:uid="{09968840-C011-4234-89E2-1D2D73013662}"/>
    <cellStyle name="Normal 8 2 4 5 3" xfId="6096" xr:uid="{00000000-0005-0000-0000-0000031D0000}"/>
    <cellStyle name="Normal 8 2 4 5 3 2" xfId="15378" xr:uid="{E3E198F1-0634-4A21-9269-0CD6C933C2C9}"/>
    <cellStyle name="Normal 8 2 4 5 4" xfId="11161" xr:uid="{145E4D02-A33F-4B01-A9D8-720FBBDC26E3}"/>
    <cellStyle name="Normal 8 2 4 6" xfId="2203" xr:uid="{00000000-0005-0000-0000-0000041D0000}"/>
    <cellStyle name="Normal 8 2 4 6 2" xfId="4432" xr:uid="{00000000-0005-0000-0000-0000051D0000}"/>
    <cellStyle name="Normal 8 2 4 6 2 2" xfId="8654" xr:uid="{00000000-0005-0000-0000-0000061D0000}"/>
    <cellStyle name="Normal 8 2 4 6 2 2 2" xfId="17936" xr:uid="{DBD80FB6-347A-435A-BEB0-F5998EC13B7C}"/>
    <cellStyle name="Normal 8 2 4 6 2 3" xfId="13719" xr:uid="{091F694E-D5EB-49F5-9C02-547B46C68B6B}"/>
    <cellStyle name="Normal 8 2 4 6 3" xfId="6509" xr:uid="{00000000-0005-0000-0000-0000071D0000}"/>
    <cellStyle name="Normal 8 2 4 6 3 2" xfId="15791" xr:uid="{8D749B9E-3879-4657-8B53-38F2958B9FDA}"/>
    <cellStyle name="Normal 8 2 4 6 4" xfId="11574" xr:uid="{D221D141-20F4-4132-B4BE-C7FFD12DF6AA}"/>
    <cellStyle name="Normal 8 2 4 7" xfId="2639" xr:uid="{00000000-0005-0000-0000-0000081D0000}"/>
    <cellStyle name="Normal 8 2 4 7 2" xfId="6922" xr:uid="{00000000-0005-0000-0000-0000091D0000}"/>
    <cellStyle name="Normal 8 2 4 7 2 2" xfId="16204" xr:uid="{B62BD53B-8180-476B-9050-7BF88D98E805}"/>
    <cellStyle name="Normal 8 2 4 7 3" xfId="11987" xr:uid="{91D2FB4E-79B2-4EBC-9411-11022777AC82}"/>
    <cellStyle name="Normal 8 2 4 8" xfId="4857" xr:uid="{00000000-0005-0000-0000-00000A1D0000}"/>
    <cellStyle name="Normal 8 2 4 8 2" xfId="14139" xr:uid="{43407B06-446D-416F-8BA1-13C928D0120E}"/>
    <cellStyle name="Normal 8 2 4 9" xfId="9922" xr:uid="{D44EFD4F-699D-47E9-A75E-AEAA5D1DC189}"/>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699" xr:uid="{DFF26B7F-EB96-48E8-B988-43812BBB534E}"/>
    <cellStyle name="Normal 8 2 5 2 2 3" xfId="12482" xr:uid="{F0B25426-FDB2-467E-9A63-6D47C01E189F}"/>
    <cellStyle name="Normal 8 2 5 2 3" xfId="5272" xr:uid="{00000000-0005-0000-0000-00000F1D0000}"/>
    <cellStyle name="Normal 8 2 5 2 3 2" xfId="14554" xr:uid="{D4596AB1-8D39-476D-8C56-2C7857356C7F}"/>
    <cellStyle name="Normal 8 2 5 2 4" xfId="10337" xr:uid="{CD7E17E6-3F26-40AD-B1C7-4D5A181485F5}"/>
    <cellStyle name="Normal 8 2 5 2 5" xfId="9509" xr:uid="{0338DB22-3822-4306-8610-6B60359DA6BF}"/>
    <cellStyle name="Normal 8 2 5 3" xfId="1378" xr:uid="{00000000-0005-0000-0000-0000101D0000}"/>
    <cellStyle name="Normal 8 2 5 3 2" xfId="3608" xr:uid="{00000000-0005-0000-0000-0000111D0000}"/>
    <cellStyle name="Normal 8 2 5 3 2 2" xfId="7830" xr:uid="{00000000-0005-0000-0000-0000121D0000}"/>
    <cellStyle name="Normal 8 2 5 3 2 2 2" xfId="17112" xr:uid="{C17DFE17-D051-4AFA-BA29-676726F27551}"/>
    <cellStyle name="Normal 8 2 5 3 2 3" xfId="12895" xr:uid="{DD5280E2-642A-4124-9653-073D7967C9D5}"/>
    <cellStyle name="Normal 8 2 5 3 3" xfId="5685" xr:uid="{00000000-0005-0000-0000-0000131D0000}"/>
    <cellStyle name="Normal 8 2 5 3 3 2" xfId="14967" xr:uid="{F5873B42-FBFF-482E-8500-3495FE0AA971}"/>
    <cellStyle name="Normal 8 2 5 3 4" xfId="10750" xr:uid="{9A559E03-33D3-4FB5-86D3-D9BC788FF3B6}"/>
    <cellStyle name="Normal 8 2 5 4" xfId="1791" xr:uid="{00000000-0005-0000-0000-0000141D0000}"/>
    <cellStyle name="Normal 8 2 5 4 2" xfId="4021" xr:uid="{00000000-0005-0000-0000-0000151D0000}"/>
    <cellStyle name="Normal 8 2 5 4 2 2" xfId="8243" xr:uid="{00000000-0005-0000-0000-0000161D0000}"/>
    <cellStyle name="Normal 8 2 5 4 2 2 2" xfId="17525" xr:uid="{00FEA017-7DA2-4252-9AA0-51552F98B0D3}"/>
    <cellStyle name="Normal 8 2 5 4 2 3" xfId="13308" xr:uid="{1D2B7C2F-4AF9-45F0-91E5-CAF19E4C8F8C}"/>
    <cellStyle name="Normal 8 2 5 4 3" xfId="6098" xr:uid="{00000000-0005-0000-0000-0000171D0000}"/>
    <cellStyle name="Normal 8 2 5 4 3 2" xfId="15380" xr:uid="{AA8329C3-811C-4F06-86A2-F40C35B12022}"/>
    <cellStyle name="Normal 8 2 5 4 4" xfId="11163" xr:uid="{C01E6E3D-432B-4ED5-89C0-6D970C9536D5}"/>
    <cellStyle name="Normal 8 2 5 5" xfId="2205" xr:uid="{00000000-0005-0000-0000-0000181D0000}"/>
    <cellStyle name="Normal 8 2 5 5 2" xfId="4434" xr:uid="{00000000-0005-0000-0000-0000191D0000}"/>
    <cellStyle name="Normal 8 2 5 5 2 2" xfId="8656" xr:uid="{00000000-0005-0000-0000-00001A1D0000}"/>
    <cellStyle name="Normal 8 2 5 5 2 2 2" xfId="17938" xr:uid="{3E7D8D86-D76A-4277-963E-3146B088419F}"/>
    <cellStyle name="Normal 8 2 5 5 2 3" xfId="13721" xr:uid="{BCDB2827-BFE3-45F3-AB14-0E9D5BB01B3F}"/>
    <cellStyle name="Normal 8 2 5 5 3" xfId="6511" xr:uid="{00000000-0005-0000-0000-00001B1D0000}"/>
    <cellStyle name="Normal 8 2 5 5 3 2" xfId="15793" xr:uid="{0AE94A70-8721-452E-9011-ADDB0E89D0D1}"/>
    <cellStyle name="Normal 8 2 5 5 4" xfId="11576" xr:uid="{0660F25D-7C30-4AB9-91D6-D52EE20B50A5}"/>
    <cellStyle name="Normal 8 2 5 6" xfId="2641" xr:uid="{00000000-0005-0000-0000-00001C1D0000}"/>
    <cellStyle name="Normal 8 2 5 6 2" xfId="6924" xr:uid="{00000000-0005-0000-0000-00001D1D0000}"/>
    <cellStyle name="Normal 8 2 5 6 2 2" xfId="16206" xr:uid="{9B339C78-08AE-4448-921F-759D43114A3C}"/>
    <cellStyle name="Normal 8 2 5 6 3" xfId="11989" xr:uid="{D2DB5F30-663F-4851-BF88-94FE650F71CC}"/>
    <cellStyle name="Normal 8 2 5 7" xfId="4859" xr:uid="{00000000-0005-0000-0000-00001E1D0000}"/>
    <cellStyle name="Normal 8 2 5 7 2" xfId="14141" xr:uid="{EB400D64-CE26-4714-ADAF-6FAF2CAB54B8}"/>
    <cellStyle name="Normal 8 2 5 8" xfId="9924" xr:uid="{13A2B8DE-0805-4706-8860-A34119A183BA}"/>
    <cellStyle name="Normal 8 2 5 9" xfId="9090" xr:uid="{F80A9633-9A74-40AD-8032-D8F1B3B82F2F}"/>
    <cellStyle name="Normal 8 2 6" xfId="946" xr:uid="{00000000-0005-0000-0000-00001F1D0000}"/>
    <cellStyle name="Normal 8 2 6 2" xfId="3180" xr:uid="{00000000-0005-0000-0000-0000201D0000}"/>
    <cellStyle name="Normal 8 2 6 2 2" xfId="7402" xr:uid="{00000000-0005-0000-0000-0000211D0000}"/>
    <cellStyle name="Normal 8 2 6 2 2 2" xfId="16684" xr:uid="{E2FAAF93-4341-428F-B248-15476E4B42C2}"/>
    <cellStyle name="Normal 8 2 6 2 3" xfId="12467" xr:uid="{A3DF002A-B026-4A74-8FED-E1697F90171B}"/>
    <cellStyle name="Normal 8 2 6 3" xfId="5257" xr:uid="{00000000-0005-0000-0000-0000221D0000}"/>
    <cellStyle name="Normal 8 2 6 3 2" xfId="14539" xr:uid="{31A1C3EC-7FFC-4632-A38D-4157F40BA1EE}"/>
    <cellStyle name="Normal 8 2 6 4" xfId="10322" xr:uid="{4960CA78-CF74-4D6E-9936-3A707EF47415}"/>
    <cellStyle name="Normal 8 2 6 5" xfId="9494" xr:uid="{38AFDEF9-6538-404C-B8F0-B8ECA1882884}"/>
    <cellStyle name="Normal 8 2 7" xfId="1363" xr:uid="{00000000-0005-0000-0000-0000231D0000}"/>
    <cellStyle name="Normal 8 2 7 2" xfId="3593" xr:uid="{00000000-0005-0000-0000-0000241D0000}"/>
    <cellStyle name="Normal 8 2 7 2 2" xfId="7815" xr:uid="{00000000-0005-0000-0000-0000251D0000}"/>
    <cellStyle name="Normal 8 2 7 2 2 2" xfId="17097" xr:uid="{3DCFFC68-A792-4449-9157-EA1A5D0D0F42}"/>
    <cellStyle name="Normal 8 2 7 2 3" xfId="12880" xr:uid="{941B095D-CD95-4703-904F-F102E6962917}"/>
    <cellStyle name="Normal 8 2 7 3" xfId="5670" xr:uid="{00000000-0005-0000-0000-0000261D0000}"/>
    <cellStyle name="Normal 8 2 7 3 2" xfId="14952" xr:uid="{528339BE-3B09-4F15-9EE4-41F41C8CB445}"/>
    <cellStyle name="Normal 8 2 7 4" xfId="10735" xr:uid="{9AE2EABB-B290-42BB-86E8-DD7B21EA61E7}"/>
    <cellStyle name="Normal 8 2 8" xfId="1776" xr:uid="{00000000-0005-0000-0000-0000271D0000}"/>
    <cellStyle name="Normal 8 2 8 2" xfId="4006" xr:uid="{00000000-0005-0000-0000-0000281D0000}"/>
    <cellStyle name="Normal 8 2 8 2 2" xfId="8228" xr:uid="{00000000-0005-0000-0000-0000291D0000}"/>
    <cellStyle name="Normal 8 2 8 2 2 2" xfId="17510" xr:uid="{CF5D8D5E-60D6-4BCA-BC83-933B5C3CCEF7}"/>
    <cellStyle name="Normal 8 2 8 2 3" xfId="13293" xr:uid="{B5E37577-2D5D-4DC3-9105-FFDA247A3965}"/>
    <cellStyle name="Normal 8 2 8 3" xfId="6083" xr:uid="{00000000-0005-0000-0000-00002A1D0000}"/>
    <cellStyle name="Normal 8 2 8 3 2" xfId="15365" xr:uid="{313EC1CD-0589-450D-8BD9-3F7BFFE636C0}"/>
    <cellStyle name="Normal 8 2 8 4" xfId="11148" xr:uid="{9BAB87B9-FF03-453A-AD56-C43847BE8D16}"/>
    <cellStyle name="Normal 8 2 9" xfId="2190" xr:uid="{00000000-0005-0000-0000-00002B1D0000}"/>
    <cellStyle name="Normal 8 2 9 2" xfId="4419" xr:uid="{00000000-0005-0000-0000-00002C1D0000}"/>
    <cellStyle name="Normal 8 2 9 2 2" xfId="8641" xr:uid="{00000000-0005-0000-0000-00002D1D0000}"/>
    <cellStyle name="Normal 8 2 9 2 2 2" xfId="17923" xr:uid="{0D48ED99-6146-4BBB-A819-B9A974D9A72B}"/>
    <cellStyle name="Normal 8 2 9 2 3" xfId="13706" xr:uid="{6C9CC8B7-BE69-4E0D-AF72-AB99FDE73D83}"/>
    <cellStyle name="Normal 8 2 9 3" xfId="6496" xr:uid="{00000000-0005-0000-0000-00002E1D0000}"/>
    <cellStyle name="Normal 8 2 9 3 2" xfId="15778" xr:uid="{53C59803-1497-46EC-8C64-590122AAA57C}"/>
    <cellStyle name="Normal 8 2 9 4" xfId="11561" xr:uid="{0C2748CE-291B-4C9C-A9E5-DA7845CE8AD1}"/>
    <cellStyle name="Normal 8 3" xfId="495" xr:uid="{00000000-0005-0000-0000-00002F1D0000}"/>
    <cellStyle name="Normal 8 3 10" xfId="4860" xr:uid="{00000000-0005-0000-0000-0000301D0000}"/>
    <cellStyle name="Normal 8 3 10 2" xfId="14142" xr:uid="{B41BFD53-D920-4EB2-A44A-3C14FC4C7288}"/>
    <cellStyle name="Normal 8 3 11" xfId="9925" xr:uid="{5417CBBE-71AA-473A-9BBD-EE302F4F0F42}"/>
    <cellStyle name="Normal 8 3 12" xfId="9091" xr:uid="{D7EF2DB1-E234-436D-A6E7-07D91F37CEE0}"/>
    <cellStyle name="Normal 8 3 2" xfId="496" xr:uid="{00000000-0005-0000-0000-0000311D0000}"/>
    <cellStyle name="Normal 8 3 2 10" xfId="9926" xr:uid="{5BE46CE4-AF6C-4B03-8231-CD52AD2FE207}"/>
    <cellStyle name="Normal 8 3 2 11" xfId="9092" xr:uid="{57AEF59F-5457-4272-B410-6CCB0192A924}"/>
    <cellStyle name="Normal 8 3 2 2" xfId="497" xr:uid="{00000000-0005-0000-0000-0000321D0000}"/>
    <cellStyle name="Normal 8 3 2 2 10" xfId="9093" xr:uid="{1E334150-D38A-4A7E-BB9E-EBE168A70041}"/>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03" xr:uid="{90641303-8380-4367-80A5-0F6DC566C36F}"/>
    <cellStyle name="Normal 8 3 2 2 2 2 2 3" xfId="12486" xr:uid="{B9B479D1-FD53-4C13-B183-1C5C5B41EE1E}"/>
    <cellStyle name="Normal 8 3 2 2 2 2 3" xfId="5276" xr:uid="{00000000-0005-0000-0000-0000371D0000}"/>
    <cellStyle name="Normal 8 3 2 2 2 2 3 2" xfId="14558" xr:uid="{FC711398-BD1B-428F-8715-17C114891ED0}"/>
    <cellStyle name="Normal 8 3 2 2 2 2 4" xfId="10341" xr:uid="{32976221-4AC5-4451-A8E9-53ACEA3461D4}"/>
    <cellStyle name="Normal 8 3 2 2 2 2 5" xfId="9513" xr:uid="{0E7D6A4D-EE68-4A00-A6F8-C6DFA1EA271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16" xr:uid="{CEC237AB-63A7-4255-9233-10CBE4F219D5}"/>
    <cellStyle name="Normal 8 3 2 2 2 3 2 3" xfId="12899" xr:uid="{088465FF-AD32-47BE-BDF3-68A6C47DDDCC}"/>
    <cellStyle name="Normal 8 3 2 2 2 3 3" xfId="5689" xr:uid="{00000000-0005-0000-0000-00003B1D0000}"/>
    <cellStyle name="Normal 8 3 2 2 2 3 3 2" xfId="14971" xr:uid="{FF93FD7F-2810-4AE4-9617-29DD1A7F8209}"/>
    <cellStyle name="Normal 8 3 2 2 2 3 4" xfId="10754" xr:uid="{681E1684-1F18-4E26-919A-40E8F7F0DFB5}"/>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29" xr:uid="{FF50533C-86B7-4FF4-942F-865E59E304A7}"/>
    <cellStyle name="Normal 8 3 2 2 2 4 2 3" xfId="13312" xr:uid="{28D4CB21-D4DF-49CA-9871-5E2770B2E02C}"/>
    <cellStyle name="Normal 8 3 2 2 2 4 3" xfId="6102" xr:uid="{00000000-0005-0000-0000-00003F1D0000}"/>
    <cellStyle name="Normal 8 3 2 2 2 4 3 2" xfId="15384" xr:uid="{A26CF84B-CA3B-4AE3-86D6-69BC95D28E8C}"/>
    <cellStyle name="Normal 8 3 2 2 2 4 4" xfId="11167" xr:uid="{0BDCE108-5B68-4672-9D32-863DBA4A7B3C}"/>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42" xr:uid="{7ABEA95A-55A6-40D9-9433-23BA7DE67790}"/>
    <cellStyle name="Normal 8 3 2 2 2 5 2 3" xfId="13725" xr:uid="{863B9866-A990-4A02-8608-0440B08FFCAA}"/>
    <cellStyle name="Normal 8 3 2 2 2 5 3" xfId="6515" xr:uid="{00000000-0005-0000-0000-0000431D0000}"/>
    <cellStyle name="Normal 8 3 2 2 2 5 3 2" xfId="15797" xr:uid="{36D303CE-F3B5-418E-B9DB-86F2410C681A}"/>
    <cellStyle name="Normal 8 3 2 2 2 5 4" xfId="11580" xr:uid="{8A78936E-DA7A-4CAD-BBB3-DE86FA636038}"/>
    <cellStyle name="Normal 8 3 2 2 2 6" xfId="2645" xr:uid="{00000000-0005-0000-0000-0000441D0000}"/>
    <cellStyle name="Normal 8 3 2 2 2 6 2" xfId="6928" xr:uid="{00000000-0005-0000-0000-0000451D0000}"/>
    <cellStyle name="Normal 8 3 2 2 2 6 2 2" xfId="16210" xr:uid="{6E3F15FC-FF7A-4CD8-996F-5210EBFB181B}"/>
    <cellStyle name="Normal 8 3 2 2 2 6 3" xfId="11993" xr:uid="{DEDC5B4D-B0B1-4EE0-BB9F-BCAA3B41496E}"/>
    <cellStyle name="Normal 8 3 2 2 2 7" xfId="4863" xr:uid="{00000000-0005-0000-0000-0000461D0000}"/>
    <cellStyle name="Normal 8 3 2 2 2 7 2" xfId="14145" xr:uid="{EEA671BB-7B4E-4B0C-9F93-4254442BD134}"/>
    <cellStyle name="Normal 8 3 2 2 2 8" xfId="9928" xr:uid="{1E35BC81-7343-4FA2-BA64-06C2AFC88ED7}"/>
    <cellStyle name="Normal 8 3 2 2 2 9" xfId="9094" xr:uid="{2093D086-B9F8-458F-96FB-586EE45DFBB9}"/>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02" xr:uid="{00127B9F-BA79-401B-8E90-B83C7210D60F}"/>
    <cellStyle name="Normal 8 3 2 2 3 2 3" xfId="12485" xr:uid="{05ACB040-FC49-426B-BC26-7BA578CD79C7}"/>
    <cellStyle name="Normal 8 3 2 2 3 3" xfId="5275" xr:uid="{00000000-0005-0000-0000-00004A1D0000}"/>
    <cellStyle name="Normal 8 3 2 2 3 3 2" xfId="14557" xr:uid="{A9F0C712-60A3-4D20-A958-3A21D08CBE29}"/>
    <cellStyle name="Normal 8 3 2 2 3 4" xfId="10340" xr:uid="{271D042D-AF1B-4B82-A56D-0F778839E93E}"/>
    <cellStyle name="Normal 8 3 2 2 3 5" xfId="9512" xr:uid="{4AE3904A-F956-4A08-8FA6-10F698B800E1}"/>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15" xr:uid="{C94900E6-1D47-484C-92AA-1D5DD6EE0B21}"/>
    <cellStyle name="Normal 8 3 2 2 4 2 3" xfId="12898" xr:uid="{848AB715-147E-4BE8-87B7-0756EE47ECF0}"/>
    <cellStyle name="Normal 8 3 2 2 4 3" xfId="5688" xr:uid="{00000000-0005-0000-0000-00004E1D0000}"/>
    <cellStyle name="Normal 8 3 2 2 4 3 2" xfId="14970" xr:uid="{DFBE1A93-D6D4-40D2-A590-FB2DFBAD15CB}"/>
    <cellStyle name="Normal 8 3 2 2 4 4" xfId="10753" xr:uid="{077CF5F2-3821-41E8-A9FB-2D414C0D870C}"/>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28" xr:uid="{55E615C2-AA47-41AD-8133-A6F45811E246}"/>
    <cellStyle name="Normal 8 3 2 2 5 2 3" xfId="13311" xr:uid="{AFC4BC17-37B9-474C-9AC7-8DA043A2FE64}"/>
    <cellStyle name="Normal 8 3 2 2 5 3" xfId="6101" xr:uid="{00000000-0005-0000-0000-0000521D0000}"/>
    <cellStyle name="Normal 8 3 2 2 5 3 2" xfId="15383" xr:uid="{6F57C32D-6993-4AC1-9A93-B1EA6B51E0E4}"/>
    <cellStyle name="Normal 8 3 2 2 5 4" xfId="11166" xr:uid="{EC133306-6FFA-4ECD-B115-861D6A0EAAA9}"/>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41" xr:uid="{66B63105-B9AC-42CB-8A81-FF4E341A2E2B}"/>
    <cellStyle name="Normal 8 3 2 2 6 2 3" xfId="13724" xr:uid="{C8A21A73-D19E-465D-8D85-84492D5CCD66}"/>
    <cellStyle name="Normal 8 3 2 2 6 3" xfId="6514" xr:uid="{00000000-0005-0000-0000-0000561D0000}"/>
    <cellStyle name="Normal 8 3 2 2 6 3 2" xfId="15796" xr:uid="{214FAD72-6F2A-45C2-97D2-1B7CE8A6F914}"/>
    <cellStyle name="Normal 8 3 2 2 6 4" xfId="11579" xr:uid="{865EA331-EB44-480D-93D2-E33CBE665C84}"/>
    <cellStyle name="Normal 8 3 2 2 7" xfId="2644" xr:uid="{00000000-0005-0000-0000-0000571D0000}"/>
    <cellStyle name="Normal 8 3 2 2 7 2" xfId="6927" xr:uid="{00000000-0005-0000-0000-0000581D0000}"/>
    <cellStyle name="Normal 8 3 2 2 7 2 2" xfId="16209" xr:uid="{C96CC9D5-9043-4F1C-8B35-6C54B15AA9B1}"/>
    <cellStyle name="Normal 8 3 2 2 7 3" xfId="11992" xr:uid="{C3FA4FED-E0A8-4702-BCE3-D9101978C470}"/>
    <cellStyle name="Normal 8 3 2 2 8" xfId="4862" xr:uid="{00000000-0005-0000-0000-0000591D0000}"/>
    <cellStyle name="Normal 8 3 2 2 8 2" xfId="14144" xr:uid="{58FD207E-C2D9-474A-ADE8-34D483C25680}"/>
    <cellStyle name="Normal 8 3 2 2 9" xfId="9927" xr:uid="{F35E1D8C-2EC0-48D8-A259-3ADE4473128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04" xr:uid="{E151CB27-A90D-4FBA-89C4-457337A09CC0}"/>
    <cellStyle name="Normal 8 3 2 3 2 2 3" xfId="12487" xr:uid="{EB4DC718-8221-4865-BF6E-34667B4C8F69}"/>
    <cellStyle name="Normal 8 3 2 3 2 3" xfId="5277" xr:uid="{00000000-0005-0000-0000-00005E1D0000}"/>
    <cellStyle name="Normal 8 3 2 3 2 3 2" xfId="14559" xr:uid="{556BE4B0-3213-448E-AD43-6E1CCF217EAB}"/>
    <cellStyle name="Normal 8 3 2 3 2 4" xfId="10342" xr:uid="{BFB9D944-A67B-49A4-A59C-4CE2D63E3F19}"/>
    <cellStyle name="Normal 8 3 2 3 2 5" xfId="9514" xr:uid="{0C95FEC7-00E6-4D0C-9846-D0DB7EC4D5D6}"/>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17" xr:uid="{BC4C5259-F1EE-47DB-9DB3-1D2C47CD152A}"/>
    <cellStyle name="Normal 8 3 2 3 3 2 3" xfId="12900" xr:uid="{82F134E5-845D-457B-92AE-C4F7051529E2}"/>
    <cellStyle name="Normal 8 3 2 3 3 3" xfId="5690" xr:uid="{00000000-0005-0000-0000-0000621D0000}"/>
    <cellStyle name="Normal 8 3 2 3 3 3 2" xfId="14972" xr:uid="{48ABEAC9-4E35-43B6-9851-5C170C9B5857}"/>
    <cellStyle name="Normal 8 3 2 3 3 4" xfId="10755" xr:uid="{B451DCF8-DF86-4B24-AD7A-A6CC853E13A3}"/>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30" xr:uid="{9FB555B9-50D2-4C80-8AA9-6E91E80EADF6}"/>
    <cellStyle name="Normal 8 3 2 3 4 2 3" xfId="13313" xr:uid="{52C88726-C92B-4490-A3FC-96D77080DA03}"/>
    <cellStyle name="Normal 8 3 2 3 4 3" xfId="6103" xr:uid="{00000000-0005-0000-0000-0000661D0000}"/>
    <cellStyle name="Normal 8 3 2 3 4 3 2" xfId="15385" xr:uid="{725311C2-C0AC-440F-8C3A-BBB684164735}"/>
    <cellStyle name="Normal 8 3 2 3 4 4" xfId="11168" xr:uid="{6022645D-BC31-41FE-B124-8F3797984B6F}"/>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43" xr:uid="{A66CFE5E-075F-44EA-A8D5-76F1D6C7CF72}"/>
    <cellStyle name="Normal 8 3 2 3 5 2 3" xfId="13726" xr:uid="{1E658E5F-6A14-40E5-B97F-F4D55603280C}"/>
    <cellStyle name="Normal 8 3 2 3 5 3" xfId="6516" xr:uid="{00000000-0005-0000-0000-00006A1D0000}"/>
    <cellStyle name="Normal 8 3 2 3 5 3 2" xfId="15798" xr:uid="{00BBDE2E-1470-4C3F-B576-34BFC2E4AA18}"/>
    <cellStyle name="Normal 8 3 2 3 5 4" xfId="11581" xr:uid="{4197C970-2881-425B-BC83-09A3952F95CA}"/>
    <cellStyle name="Normal 8 3 2 3 6" xfId="2646" xr:uid="{00000000-0005-0000-0000-00006B1D0000}"/>
    <cellStyle name="Normal 8 3 2 3 6 2" xfId="6929" xr:uid="{00000000-0005-0000-0000-00006C1D0000}"/>
    <cellStyle name="Normal 8 3 2 3 6 2 2" xfId="16211" xr:uid="{D26EA0D3-C9D3-4F80-A882-D5F8F266E33F}"/>
    <cellStyle name="Normal 8 3 2 3 6 3" xfId="11994" xr:uid="{6D2F2A10-575A-4817-AA39-09049D2EDAB4}"/>
    <cellStyle name="Normal 8 3 2 3 7" xfId="4864" xr:uid="{00000000-0005-0000-0000-00006D1D0000}"/>
    <cellStyle name="Normal 8 3 2 3 7 2" xfId="14146" xr:uid="{55613186-C93D-404C-B709-F380BBDD1240}"/>
    <cellStyle name="Normal 8 3 2 3 8" xfId="9929" xr:uid="{2584533A-2B94-4AFB-B16B-237F5FD7C282}"/>
    <cellStyle name="Normal 8 3 2 3 9" xfId="9095" xr:uid="{B9FE28A8-5C12-44FC-9D14-8F0B756858CC}"/>
    <cellStyle name="Normal 8 3 2 4" xfId="963" xr:uid="{00000000-0005-0000-0000-00006E1D0000}"/>
    <cellStyle name="Normal 8 3 2 4 2" xfId="3197" xr:uid="{00000000-0005-0000-0000-00006F1D0000}"/>
    <cellStyle name="Normal 8 3 2 4 2 2" xfId="7419" xr:uid="{00000000-0005-0000-0000-0000701D0000}"/>
    <cellStyle name="Normal 8 3 2 4 2 2 2" xfId="16701" xr:uid="{3BA834F4-5517-48D7-B9F9-108FA07E56F1}"/>
    <cellStyle name="Normal 8 3 2 4 2 3" xfId="12484" xr:uid="{D770E7B1-B30D-4FFB-AC74-DE70FE8AE521}"/>
    <cellStyle name="Normal 8 3 2 4 3" xfId="5274" xr:uid="{00000000-0005-0000-0000-0000711D0000}"/>
    <cellStyle name="Normal 8 3 2 4 3 2" xfId="14556" xr:uid="{062BA68A-8F9B-405B-B546-2B467905D015}"/>
    <cellStyle name="Normal 8 3 2 4 4" xfId="10339" xr:uid="{4CB7595D-3DED-4CE9-A0D7-FDA9E19F2CD4}"/>
    <cellStyle name="Normal 8 3 2 4 5" xfId="9511" xr:uid="{7243AF96-AF5B-4D2C-AA29-BA818CB51C5F}"/>
    <cellStyle name="Normal 8 3 2 5" xfId="1380" xr:uid="{00000000-0005-0000-0000-0000721D0000}"/>
    <cellStyle name="Normal 8 3 2 5 2" xfId="3610" xr:uid="{00000000-0005-0000-0000-0000731D0000}"/>
    <cellStyle name="Normal 8 3 2 5 2 2" xfId="7832" xr:uid="{00000000-0005-0000-0000-0000741D0000}"/>
    <cellStyle name="Normal 8 3 2 5 2 2 2" xfId="17114" xr:uid="{E3966E92-B8D4-46B4-8A45-548E6CBFAE96}"/>
    <cellStyle name="Normal 8 3 2 5 2 3" xfId="12897" xr:uid="{9912D529-9CF9-4609-BAF0-1AD73AF18917}"/>
    <cellStyle name="Normal 8 3 2 5 3" xfId="5687" xr:uid="{00000000-0005-0000-0000-0000751D0000}"/>
    <cellStyle name="Normal 8 3 2 5 3 2" xfId="14969" xr:uid="{C55F1E34-982F-40FA-BE56-AF8CDA51CC7A}"/>
    <cellStyle name="Normal 8 3 2 5 4" xfId="10752" xr:uid="{2016FF25-E04D-4ABB-9C3C-C996795EB038}"/>
    <cellStyle name="Normal 8 3 2 6" xfId="1793" xr:uid="{00000000-0005-0000-0000-0000761D0000}"/>
    <cellStyle name="Normal 8 3 2 6 2" xfId="4023" xr:uid="{00000000-0005-0000-0000-0000771D0000}"/>
    <cellStyle name="Normal 8 3 2 6 2 2" xfId="8245" xr:uid="{00000000-0005-0000-0000-0000781D0000}"/>
    <cellStyle name="Normal 8 3 2 6 2 2 2" xfId="17527" xr:uid="{94342A8A-9DEA-45A7-B104-1317837D0597}"/>
    <cellStyle name="Normal 8 3 2 6 2 3" xfId="13310" xr:uid="{C6B00E24-3520-413A-82A1-B7E7347978E4}"/>
    <cellStyle name="Normal 8 3 2 6 3" xfId="6100" xr:uid="{00000000-0005-0000-0000-0000791D0000}"/>
    <cellStyle name="Normal 8 3 2 6 3 2" xfId="15382" xr:uid="{CF8A4D4C-89FF-4DA5-BD01-135CCD3BD2C0}"/>
    <cellStyle name="Normal 8 3 2 6 4" xfId="11165" xr:uid="{0E1D2FF2-A41E-4EAD-8441-4FFBC190C267}"/>
    <cellStyle name="Normal 8 3 2 7" xfId="2207" xr:uid="{00000000-0005-0000-0000-00007A1D0000}"/>
    <cellStyle name="Normal 8 3 2 7 2" xfId="4436" xr:uid="{00000000-0005-0000-0000-00007B1D0000}"/>
    <cellStyle name="Normal 8 3 2 7 2 2" xfId="8658" xr:uid="{00000000-0005-0000-0000-00007C1D0000}"/>
    <cellStyle name="Normal 8 3 2 7 2 2 2" xfId="17940" xr:uid="{3909F769-C4D6-4D96-9C7F-73E8C2595019}"/>
    <cellStyle name="Normal 8 3 2 7 2 3" xfId="13723" xr:uid="{ADAE0919-3113-4AF6-B3DA-7AA2337A7CD9}"/>
    <cellStyle name="Normal 8 3 2 7 3" xfId="6513" xr:uid="{00000000-0005-0000-0000-00007D1D0000}"/>
    <cellStyle name="Normal 8 3 2 7 3 2" xfId="15795" xr:uid="{6BE62A7B-8F04-4D88-AC7E-3768CFD61A86}"/>
    <cellStyle name="Normal 8 3 2 7 4" xfId="11578" xr:uid="{6FE0F004-338A-4459-9B4E-2B3CC3669439}"/>
    <cellStyle name="Normal 8 3 2 8" xfId="2643" xr:uid="{00000000-0005-0000-0000-00007E1D0000}"/>
    <cellStyle name="Normal 8 3 2 8 2" xfId="6926" xr:uid="{00000000-0005-0000-0000-00007F1D0000}"/>
    <cellStyle name="Normal 8 3 2 8 2 2" xfId="16208" xr:uid="{D5B1F60B-BEDE-496A-9A05-DA366F6D440F}"/>
    <cellStyle name="Normal 8 3 2 8 3" xfId="11991" xr:uid="{9EBF9883-2748-4EC4-A8F1-30B056AE8F50}"/>
    <cellStyle name="Normal 8 3 2 9" xfId="4861" xr:uid="{00000000-0005-0000-0000-0000801D0000}"/>
    <cellStyle name="Normal 8 3 2 9 2" xfId="14143" xr:uid="{C4D542AD-8565-418A-AD09-949F60DA788E}"/>
    <cellStyle name="Normal 8 3 3" xfId="500" xr:uid="{00000000-0005-0000-0000-0000811D0000}"/>
    <cellStyle name="Normal 8 3 3 10" xfId="9096" xr:uid="{6322D8D3-6DC8-451D-8666-C7835DB4717A}"/>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06" xr:uid="{4F5620EF-BD52-4A07-9780-907546C70AAE}"/>
    <cellStyle name="Normal 8 3 3 2 2 2 3" xfId="12489" xr:uid="{B578EC0E-1BDA-49A2-9D50-2DD8613BF8DE}"/>
    <cellStyle name="Normal 8 3 3 2 2 3" xfId="5279" xr:uid="{00000000-0005-0000-0000-0000861D0000}"/>
    <cellStyle name="Normal 8 3 3 2 2 3 2" xfId="14561" xr:uid="{7ADA47B7-5D0E-4901-B994-6284B8E6175B}"/>
    <cellStyle name="Normal 8 3 3 2 2 4" xfId="10344" xr:uid="{E03F68CF-B864-48F2-B518-BD5E6DFF801B}"/>
    <cellStyle name="Normal 8 3 3 2 2 5" xfId="9516" xr:uid="{563D6B14-C7B5-4579-9A65-F53D3DD1C56F}"/>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19" xr:uid="{2F812201-D785-43E0-A458-2A2CC8514EDF}"/>
    <cellStyle name="Normal 8 3 3 2 3 2 3" xfId="12902" xr:uid="{08764A3A-78D3-485E-9C17-A5BAB721E23A}"/>
    <cellStyle name="Normal 8 3 3 2 3 3" xfId="5692" xr:uid="{00000000-0005-0000-0000-00008A1D0000}"/>
    <cellStyle name="Normal 8 3 3 2 3 3 2" xfId="14974" xr:uid="{B161028C-5207-4B3A-817E-EB5E6B17FDFE}"/>
    <cellStyle name="Normal 8 3 3 2 3 4" xfId="10757" xr:uid="{1C2346DC-5FDE-4D44-9492-FC6D87D2EC0F}"/>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32" xr:uid="{9DDBA7DF-4373-461C-9662-C4EFA7D68800}"/>
    <cellStyle name="Normal 8 3 3 2 4 2 3" xfId="13315" xr:uid="{4C962D1F-981B-47CB-8780-68D5E2607315}"/>
    <cellStyle name="Normal 8 3 3 2 4 3" xfId="6105" xr:uid="{00000000-0005-0000-0000-00008E1D0000}"/>
    <cellStyle name="Normal 8 3 3 2 4 3 2" xfId="15387" xr:uid="{115BD4E8-8666-4ACD-A2E4-72F86A9ABAA0}"/>
    <cellStyle name="Normal 8 3 3 2 4 4" xfId="11170" xr:uid="{8889325D-DF14-4B5C-ACA0-0136BB5C6FD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45" xr:uid="{892303BD-EF2C-4434-A263-71653A720C71}"/>
    <cellStyle name="Normal 8 3 3 2 5 2 3" xfId="13728" xr:uid="{67CCCCA4-CC0F-48D2-A209-D4EC70FEB959}"/>
    <cellStyle name="Normal 8 3 3 2 5 3" xfId="6518" xr:uid="{00000000-0005-0000-0000-0000921D0000}"/>
    <cellStyle name="Normal 8 3 3 2 5 3 2" xfId="15800" xr:uid="{3B90693D-FC9B-4349-B125-B2AA240A2B7B}"/>
    <cellStyle name="Normal 8 3 3 2 5 4" xfId="11583" xr:uid="{C3650D60-805F-41C4-9402-3827AEC017EC}"/>
    <cellStyle name="Normal 8 3 3 2 6" xfId="2648" xr:uid="{00000000-0005-0000-0000-0000931D0000}"/>
    <cellStyle name="Normal 8 3 3 2 6 2" xfId="6931" xr:uid="{00000000-0005-0000-0000-0000941D0000}"/>
    <cellStyle name="Normal 8 3 3 2 6 2 2" xfId="16213" xr:uid="{9A0529B8-2711-45E6-9000-8867286B8D9F}"/>
    <cellStyle name="Normal 8 3 3 2 6 3" xfId="11996" xr:uid="{1418F194-2B67-4189-8CF6-2E7CDF7F522F}"/>
    <cellStyle name="Normal 8 3 3 2 7" xfId="4866" xr:uid="{00000000-0005-0000-0000-0000951D0000}"/>
    <cellStyle name="Normal 8 3 3 2 7 2" xfId="14148" xr:uid="{2868E587-9680-4108-A0CF-58C0565BA88A}"/>
    <cellStyle name="Normal 8 3 3 2 8" xfId="9931" xr:uid="{37272ED3-CE6A-4E93-9F6B-B2C97A77027D}"/>
    <cellStyle name="Normal 8 3 3 2 9" xfId="9097" xr:uid="{5BD12F75-CB5F-4C84-B581-AAC12099043D}"/>
    <cellStyle name="Normal 8 3 3 3" xfId="967" xr:uid="{00000000-0005-0000-0000-0000961D0000}"/>
    <cellStyle name="Normal 8 3 3 3 2" xfId="3201" xr:uid="{00000000-0005-0000-0000-0000971D0000}"/>
    <cellStyle name="Normal 8 3 3 3 2 2" xfId="7423" xr:uid="{00000000-0005-0000-0000-0000981D0000}"/>
    <cellStyle name="Normal 8 3 3 3 2 2 2" xfId="16705" xr:uid="{AE36239D-C322-4DE2-A69F-67CE6E0978A6}"/>
    <cellStyle name="Normal 8 3 3 3 2 3" xfId="12488" xr:uid="{D3AD5C0A-727E-40B4-81CD-DDA7ACE1533C}"/>
    <cellStyle name="Normal 8 3 3 3 3" xfId="5278" xr:uid="{00000000-0005-0000-0000-0000991D0000}"/>
    <cellStyle name="Normal 8 3 3 3 3 2" xfId="14560" xr:uid="{9E36C0B3-DF4A-4975-8C92-817711302A18}"/>
    <cellStyle name="Normal 8 3 3 3 4" xfId="10343" xr:uid="{0D7B8846-9762-4F90-B6DA-70CAF9486F70}"/>
    <cellStyle name="Normal 8 3 3 3 5" xfId="9515" xr:uid="{A1EDC430-CE9C-45CC-8D54-FF459D39A3CB}"/>
    <cellStyle name="Normal 8 3 3 4" xfId="1384" xr:uid="{00000000-0005-0000-0000-00009A1D0000}"/>
    <cellStyle name="Normal 8 3 3 4 2" xfId="3614" xr:uid="{00000000-0005-0000-0000-00009B1D0000}"/>
    <cellStyle name="Normal 8 3 3 4 2 2" xfId="7836" xr:uid="{00000000-0005-0000-0000-00009C1D0000}"/>
    <cellStyle name="Normal 8 3 3 4 2 2 2" xfId="17118" xr:uid="{F37DDF4D-01D9-499E-95E5-53EAAF4BFCEA}"/>
    <cellStyle name="Normal 8 3 3 4 2 3" xfId="12901" xr:uid="{4EC2D525-9886-4CC3-BAEA-448A08F97B0E}"/>
    <cellStyle name="Normal 8 3 3 4 3" xfId="5691" xr:uid="{00000000-0005-0000-0000-00009D1D0000}"/>
    <cellStyle name="Normal 8 3 3 4 3 2" xfId="14973" xr:uid="{8D6538E8-AF9C-49F2-B2C3-E989A8A2E012}"/>
    <cellStyle name="Normal 8 3 3 4 4" xfId="10756" xr:uid="{8B3E2F2E-48D3-42DF-A342-8DDFAB22A02A}"/>
    <cellStyle name="Normal 8 3 3 5" xfId="1797" xr:uid="{00000000-0005-0000-0000-00009E1D0000}"/>
    <cellStyle name="Normal 8 3 3 5 2" xfId="4027" xr:uid="{00000000-0005-0000-0000-00009F1D0000}"/>
    <cellStyle name="Normal 8 3 3 5 2 2" xfId="8249" xr:uid="{00000000-0005-0000-0000-0000A01D0000}"/>
    <cellStyle name="Normal 8 3 3 5 2 2 2" xfId="17531" xr:uid="{0B7CC65F-D73B-47F3-8AB4-937A1B791F24}"/>
    <cellStyle name="Normal 8 3 3 5 2 3" xfId="13314" xr:uid="{CDD7A884-FC1C-43DD-94E6-BC225C287AA7}"/>
    <cellStyle name="Normal 8 3 3 5 3" xfId="6104" xr:uid="{00000000-0005-0000-0000-0000A11D0000}"/>
    <cellStyle name="Normal 8 3 3 5 3 2" xfId="15386" xr:uid="{18A0ABEB-C0AC-45A0-96D5-5054DFBA5D5A}"/>
    <cellStyle name="Normal 8 3 3 5 4" xfId="11169" xr:uid="{7334C108-8778-40F7-85BC-5585551555EC}"/>
    <cellStyle name="Normal 8 3 3 6" xfId="2211" xr:uid="{00000000-0005-0000-0000-0000A21D0000}"/>
    <cellStyle name="Normal 8 3 3 6 2" xfId="4440" xr:uid="{00000000-0005-0000-0000-0000A31D0000}"/>
    <cellStyle name="Normal 8 3 3 6 2 2" xfId="8662" xr:uid="{00000000-0005-0000-0000-0000A41D0000}"/>
    <cellStyle name="Normal 8 3 3 6 2 2 2" xfId="17944" xr:uid="{6E769E82-7567-4163-B978-1BBC373BFE9C}"/>
    <cellStyle name="Normal 8 3 3 6 2 3" xfId="13727" xr:uid="{2E1DCF91-2BFE-4F9D-8D33-A18113BAF133}"/>
    <cellStyle name="Normal 8 3 3 6 3" xfId="6517" xr:uid="{00000000-0005-0000-0000-0000A51D0000}"/>
    <cellStyle name="Normal 8 3 3 6 3 2" xfId="15799" xr:uid="{D03E192D-64AF-4C96-A475-8C8353EA0D3D}"/>
    <cellStyle name="Normal 8 3 3 6 4" xfId="11582" xr:uid="{D7D955FD-BF52-451B-8D4A-E8C5F48B2A8D}"/>
    <cellStyle name="Normal 8 3 3 7" xfId="2647" xr:uid="{00000000-0005-0000-0000-0000A61D0000}"/>
    <cellStyle name="Normal 8 3 3 7 2" xfId="6930" xr:uid="{00000000-0005-0000-0000-0000A71D0000}"/>
    <cellStyle name="Normal 8 3 3 7 2 2" xfId="16212" xr:uid="{8632B2BF-9C9D-45C6-97D4-55087056F139}"/>
    <cellStyle name="Normal 8 3 3 7 3" xfId="11995" xr:uid="{7529DAD2-7A3D-4FF7-A16D-63BD8C95651F}"/>
    <cellStyle name="Normal 8 3 3 8" xfId="4865" xr:uid="{00000000-0005-0000-0000-0000A81D0000}"/>
    <cellStyle name="Normal 8 3 3 8 2" xfId="14147" xr:uid="{FE6927F5-C8FA-4A86-B573-EF6391C027AA}"/>
    <cellStyle name="Normal 8 3 3 9" xfId="9930" xr:uid="{F200847C-909C-404A-B9D0-3BE37C00A19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07" xr:uid="{1F1F689F-92B4-4D77-A334-8EEE9E8EE608}"/>
    <cellStyle name="Normal 8 3 4 2 2 3" xfId="12490" xr:uid="{7C6E1568-AC3C-46B6-8ABC-9787DD007A0D}"/>
    <cellStyle name="Normal 8 3 4 2 3" xfId="5280" xr:uid="{00000000-0005-0000-0000-0000AD1D0000}"/>
    <cellStyle name="Normal 8 3 4 2 3 2" xfId="14562" xr:uid="{BB5131DE-7340-45C5-BB67-93EF4EA11AA2}"/>
    <cellStyle name="Normal 8 3 4 2 4" xfId="10345" xr:uid="{E1483913-5B0B-4DDF-BA3C-E6DE80A3CC4C}"/>
    <cellStyle name="Normal 8 3 4 2 5" xfId="9517" xr:uid="{3D202B68-6D09-4BA9-9802-A916A065B439}"/>
    <cellStyle name="Normal 8 3 4 3" xfId="1386" xr:uid="{00000000-0005-0000-0000-0000AE1D0000}"/>
    <cellStyle name="Normal 8 3 4 3 2" xfId="3616" xr:uid="{00000000-0005-0000-0000-0000AF1D0000}"/>
    <cellStyle name="Normal 8 3 4 3 2 2" xfId="7838" xr:uid="{00000000-0005-0000-0000-0000B01D0000}"/>
    <cellStyle name="Normal 8 3 4 3 2 2 2" xfId="17120" xr:uid="{746B4EA1-D907-432D-A82A-D1C8E43046A1}"/>
    <cellStyle name="Normal 8 3 4 3 2 3" xfId="12903" xr:uid="{7576DC1E-18C0-4E38-8227-263E7D93320E}"/>
    <cellStyle name="Normal 8 3 4 3 3" xfId="5693" xr:uid="{00000000-0005-0000-0000-0000B11D0000}"/>
    <cellStyle name="Normal 8 3 4 3 3 2" xfId="14975" xr:uid="{7343CFEA-2391-47CE-93F7-A77DE755F223}"/>
    <cellStyle name="Normal 8 3 4 3 4" xfId="10758" xr:uid="{A5D21FA7-4979-45A7-9FB4-8EBE30245A9A}"/>
    <cellStyle name="Normal 8 3 4 4" xfId="1799" xr:uid="{00000000-0005-0000-0000-0000B21D0000}"/>
    <cellStyle name="Normal 8 3 4 4 2" xfId="4029" xr:uid="{00000000-0005-0000-0000-0000B31D0000}"/>
    <cellStyle name="Normal 8 3 4 4 2 2" xfId="8251" xr:uid="{00000000-0005-0000-0000-0000B41D0000}"/>
    <cellStyle name="Normal 8 3 4 4 2 2 2" xfId="17533" xr:uid="{6B9DF484-ED0F-42FF-A8EC-DAD1F4222DEB}"/>
    <cellStyle name="Normal 8 3 4 4 2 3" xfId="13316" xr:uid="{E5495197-2714-47AF-9234-D24E6D2B2846}"/>
    <cellStyle name="Normal 8 3 4 4 3" xfId="6106" xr:uid="{00000000-0005-0000-0000-0000B51D0000}"/>
    <cellStyle name="Normal 8 3 4 4 3 2" xfId="15388" xr:uid="{7BD68557-1ACB-44A8-A1F6-6F1CF3F0DFEC}"/>
    <cellStyle name="Normal 8 3 4 4 4" xfId="11171" xr:uid="{F887C525-E9B9-4C42-97C5-AF2DF39E7814}"/>
    <cellStyle name="Normal 8 3 4 5" xfId="2213" xr:uid="{00000000-0005-0000-0000-0000B61D0000}"/>
    <cellStyle name="Normal 8 3 4 5 2" xfId="4442" xr:uid="{00000000-0005-0000-0000-0000B71D0000}"/>
    <cellStyle name="Normal 8 3 4 5 2 2" xfId="8664" xr:uid="{00000000-0005-0000-0000-0000B81D0000}"/>
    <cellStyle name="Normal 8 3 4 5 2 2 2" xfId="17946" xr:uid="{52C66155-69A5-48DA-ADFD-6701E41B39A5}"/>
    <cellStyle name="Normal 8 3 4 5 2 3" xfId="13729" xr:uid="{0E5E111A-394F-4E7B-83EF-93225DE6716A}"/>
    <cellStyle name="Normal 8 3 4 5 3" xfId="6519" xr:uid="{00000000-0005-0000-0000-0000B91D0000}"/>
    <cellStyle name="Normal 8 3 4 5 3 2" xfId="15801" xr:uid="{27D5663F-2399-4D6B-AE86-C7C05E90AD1E}"/>
    <cellStyle name="Normal 8 3 4 5 4" xfId="11584" xr:uid="{A9900D80-0E6D-4C26-9AAF-D1DABB8BB4DC}"/>
    <cellStyle name="Normal 8 3 4 6" xfId="2649" xr:uid="{00000000-0005-0000-0000-0000BA1D0000}"/>
    <cellStyle name="Normal 8 3 4 6 2" xfId="6932" xr:uid="{00000000-0005-0000-0000-0000BB1D0000}"/>
    <cellStyle name="Normal 8 3 4 6 2 2" xfId="16214" xr:uid="{829C2FDD-647F-4AA5-9ADA-306DEA9362B1}"/>
    <cellStyle name="Normal 8 3 4 6 3" xfId="11997" xr:uid="{457A552E-B69F-402F-98FB-78B0DC5720DA}"/>
    <cellStyle name="Normal 8 3 4 7" xfId="4867" xr:uid="{00000000-0005-0000-0000-0000BC1D0000}"/>
    <cellStyle name="Normal 8 3 4 7 2" xfId="14149" xr:uid="{511E4FD5-FD34-4A47-8530-0F309455F419}"/>
    <cellStyle name="Normal 8 3 4 8" xfId="9932" xr:uid="{08821FAD-F1DA-44A1-8BC3-7905BEC0D26A}"/>
    <cellStyle name="Normal 8 3 4 9" xfId="9098" xr:uid="{57FA7656-4AD7-4B0F-886D-80046A7F0CC0}"/>
    <cellStyle name="Normal 8 3 5" xfId="962" xr:uid="{00000000-0005-0000-0000-0000BD1D0000}"/>
    <cellStyle name="Normal 8 3 5 2" xfId="3196" xr:uid="{00000000-0005-0000-0000-0000BE1D0000}"/>
    <cellStyle name="Normal 8 3 5 2 2" xfId="7418" xr:uid="{00000000-0005-0000-0000-0000BF1D0000}"/>
    <cellStyle name="Normal 8 3 5 2 2 2" xfId="16700" xr:uid="{26268B45-65EE-43B9-97D1-3B12B6244445}"/>
    <cellStyle name="Normal 8 3 5 2 3" xfId="12483" xr:uid="{FA4828F6-4624-4914-A100-077E1A45F901}"/>
    <cellStyle name="Normal 8 3 5 3" xfId="5273" xr:uid="{00000000-0005-0000-0000-0000C01D0000}"/>
    <cellStyle name="Normal 8 3 5 3 2" xfId="14555" xr:uid="{49671724-BCF0-481A-BD67-3780B30D3EBF}"/>
    <cellStyle name="Normal 8 3 5 4" xfId="10338" xr:uid="{6B637A92-3E01-4C0F-9723-2FEB42CC73FF}"/>
    <cellStyle name="Normal 8 3 5 5" xfId="9510" xr:uid="{9040F24E-6BBC-436F-9314-FE869A31A43B}"/>
    <cellStyle name="Normal 8 3 6" xfId="1379" xr:uid="{00000000-0005-0000-0000-0000C11D0000}"/>
    <cellStyle name="Normal 8 3 6 2" xfId="3609" xr:uid="{00000000-0005-0000-0000-0000C21D0000}"/>
    <cellStyle name="Normal 8 3 6 2 2" xfId="7831" xr:uid="{00000000-0005-0000-0000-0000C31D0000}"/>
    <cellStyle name="Normal 8 3 6 2 2 2" xfId="17113" xr:uid="{CAE595B2-95FD-45BE-8EAA-83DAF52543E7}"/>
    <cellStyle name="Normal 8 3 6 2 3" xfId="12896" xr:uid="{A2CD6D06-35FA-4337-9955-E5629AADB781}"/>
    <cellStyle name="Normal 8 3 6 3" xfId="5686" xr:uid="{00000000-0005-0000-0000-0000C41D0000}"/>
    <cellStyle name="Normal 8 3 6 3 2" xfId="14968" xr:uid="{A26EA999-F84F-4701-97CF-AE2DD3C9C2C8}"/>
    <cellStyle name="Normal 8 3 6 4" xfId="10751" xr:uid="{254ECC9E-FE49-4378-86BA-C5F6A9EF9180}"/>
    <cellStyle name="Normal 8 3 7" xfId="1792" xr:uid="{00000000-0005-0000-0000-0000C51D0000}"/>
    <cellStyle name="Normal 8 3 7 2" xfId="4022" xr:uid="{00000000-0005-0000-0000-0000C61D0000}"/>
    <cellStyle name="Normal 8 3 7 2 2" xfId="8244" xr:uid="{00000000-0005-0000-0000-0000C71D0000}"/>
    <cellStyle name="Normal 8 3 7 2 2 2" xfId="17526" xr:uid="{F8D96D09-485A-42B7-9625-8086B9BE7E1A}"/>
    <cellStyle name="Normal 8 3 7 2 3" xfId="13309" xr:uid="{C6EE662E-776A-453B-9BDA-C3BFF50D3138}"/>
    <cellStyle name="Normal 8 3 7 3" xfId="6099" xr:uid="{00000000-0005-0000-0000-0000C81D0000}"/>
    <cellStyle name="Normal 8 3 7 3 2" xfId="15381" xr:uid="{F95E67F3-31E0-4249-8A9D-51F0DBB03308}"/>
    <cellStyle name="Normal 8 3 7 4" xfId="11164" xr:uid="{BE427D33-A4EF-421D-A290-E218D9E35059}"/>
    <cellStyle name="Normal 8 3 8" xfId="2206" xr:uid="{00000000-0005-0000-0000-0000C91D0000}"/>
    <cellStyle name="Normal 8 3 8 2" xfId="4435" xr:uid="{00000000-0005-0000-0000-0000CA1D0000}"/>
    <cellStyle name="Normal 8 3 8 2 2" xfId="8657" xr:uid="{00000000-0005-0000-0000-0000CB1D0000}"/>
    <cellStyle name="Normal 8 3 8 2 2 2" xfId="17939" xr:uid="{CA2E451A-E9C4-4BC9-BC6F-7790DC6369B2}"/>
    <cellStyle name="Normal 8 3 8 2 3" xfId="13722" xr:uid="{56B181A4-8752-4EC2-9E12-E0A9D3202D96}"/>
    <cellStyle name="Normal 8 3 8 3" xfId="6512" xr:uid="{00000000-0005-0000-0000-0000CC1D0000}"/>
    <cellStyle name="Normal 8 3 8 3 2" xfId="15794" xr:uid="{7B7714C5-650C-4A6A-9924-CEEDAA410A90}"/>
    <cellStyle name="Normal 8 3 8 4" xfId="11577" xr:uid="{278896A5-80BF-4385-A68A-B7DEA47C4C7F}"/>
    <cellStyle name="Normal 8 3 9" xfId="2642" xr:uid="{00000000-0005-0000-0000-0000CD1D0000}"/>
    <cellStyle name="Normal 8 3 9 2" xfId="6925" xr:uid="{00000000-0005-0000-0000-0000CE1D0000}"/>
    <cellStyle name="Normal 8 3 9 2 2" xfId="16207" xr:uid="{EB154365-F6BA-486E-BF3F-F3F84BC8AD3A}"/>
    <cellStyle name="Normal 8 3 9 3" xfId="11990" xr:uid="{6AD793B0-5A7A-4507-9D1B-BB94EF3039E8}"/>
    <cellStyle name="Normal 8 4" xfId="503" xr:uid="{00000000-0005-0000-0000-0000CF1D0000}"/>
    <cellStyle name="Normal 8 4 10" xfId="9933" xr:uid="{5E5367A6-C0FC-4E38-9200-CDB6E9943E16}"/>
    <cellStyle name="Normal 8 4 11" xfId="9099" xr:uid="{3B14E57D-8F47-495D-8CCF-42C87B0750FE}"/>
    <cellStyle name="Normal 8 4 2" xfId="504" xr:uid="{00000000-0005-0000-0000-0000D01D0000}"/>
    <cellStyle name="Normal 8 4 2 10" xfId="9100" xr:uid="{564C982A-F072-49A5-BC35-44273368715E}"/>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10" xr:uid="{BD42E436-0A0E-487B-B916-EFAF8CD26C39}"/>
    <cellStyle name="Normal 8 4 2 2 2 2 3" xfId="12493" xr:uid="{BD90CE27-E5E3-461E-A738-336B67475874}"/>
    <cellStyle name="Normal 8 4 2 2 2 3" xfId="5283" xr:uid="{00000000-0005-0000-0000-0000D51D0000}"/>
    <cellStyle name="Normal 8 4 2 2 2 3 2" xfId="14565" xr:uid="{6A2AE4FF-A6A5-42CC-B118-EA8F9B6599A8}"/>
    <cellStyle name="Normal 8 4 2 2 2 4" xfId="10348" xr:uid="{903FA036-CA68-4A09-A205-FA3CF67DF0A6}"/>
    <cellStyle name="Normal 8 4 2 2 2 5" xfId="9520" xr:uid="{6314A630-9AAD-4E78-B778-711294EDFB22}"/>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23" xr:uid="{6B61D697-F00B-4D76-8127-0257A3334D4B}"/>
    <cellStyle name="Normal 8 4 2 2 3 2 3" xfId="12906" xr:uid="{FEEAA350-EDC7-465A-94B1-7F51721EA5B1}"/>
    <cellStyle name="Normal 8 4 2 2 3 3" xfId="5696" xr:uid="{00000000-0005-0000-0000-0000D91D0000}"/>
    <cellStyle name="Normal 8 4 2 2 3 3 2" xfId="14978" xr:uid="{7198731E-29F6-445E-87E9-BE47F36BF5DF}"/>
    <cellStyle name="Normal 8 4 2 2 3 4" xfId="10761" xr:uid="{4DFE3BE8-2D2D-41E3-AFAD-E4D058381AE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36" xr:uid="{CC79F92C-5C3D-4D51-81D0-CECE05B71F9A}"/>
    <cellStyle name="Normal 8 4 2 2 4 2 3" xfId="13319" xr:uid="{38B43FFA-AE0B-4D6C-B711-7C30D97DB493}"/>
    <cellStyle name="Normal 8 4 2 2 4 3" xfId="6109" xr:uid="{00000000-0005-0000-0000-0000DD1D0000}"/>
    <cellStyle name="Normal 8 4 2 2 4 3 2" xfId="15391" xr:uid="{0CAF8416-91F8-47D2-88D8-0DE205A99DA3}"/>
    <cellStyle name="Normal 8 4 2 2 4 4" xfId="11174" xr:uid="{E7EF37CF-C557-4BAE-BC6E-14568B6EE7B8}"/>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49" xr:uid="{B77EA831-CB6A-4461-BE48-63D24372F352}"/>
    <cellStyle name="Normal 8 4 2 2 5 2 3" xfId="13732" xr:uid="{5A713066-4963-4042-9AFF-A355A0F1E620}"/>
    <cellStyle name="Normal 8 4 2 2 5 3" xfId="6522" xr:uid="{00000000-0005-0000-0000-0000E11D0000}"/>
    <cellStyle name="Normal 8 4 2 2 5 3 2" xfId="15804" xr:uid="{1D608879-ECFA-4CA6-896A-3D42472C67E7}"/>
    <cellStyle name="Normal 8 4 2 2 5 4" xfId="11587" xr:uid="{0FDCEFBB-37D4-4696-A729-00E38DDA2567}"/>
    <cellStyle name="Normal 8 4 2 2 6" xfId="2652" xr:uid="{00000000-0005-0000-0000-0000E21D0000}"/>
    <cellStyle name="Normal 8 4 2 2 6 2" xfId="6935" xr:uid="{00000000-0005-0000-0000-0000E31D0000}"/>
    <cellStyle name="Normal 8 4 2 2 6 2 2" xfId="16217" xr:uid="{BE9D9CFB-84FC-445B-BFE8-979599E8CED8}"/>
    <cellStyle name="Normal 8 4 2 2 6 3" xfId="12000" xr:uid="{94201B64-1621-4952-84C6-56FFC73CC19C}"/>
    <cellStyle name="Normal 8 4 2 2 7" xfId="4870" xr:uid="{00000000-0005-0000-0000-0000E41D0000}"/>
    <cellStyle name="Normal 8 4 2 2 7 2" xfId="14152" xr:uid="{BF7E88C9-A6F3-4597-AA46-B05A6DE0408E}"/>
    <cellStyle name="Normal 8 4 2 2 8" xfId="9935" xr:uid="{019EE836-9B98-4F33-B61B-0DBC0D4043DE}"/>
    <cellStyle name="Normal 8 4 2 2 9" xfId="9101" xr:uid="{A92CDA26-443A-4C60-A34F-764142A4C853}"/>
    <cellStyle name="Normal 8 4 2 3" xfId="971" xr:uid="{00000000-0005-0000-0000-0000E51D0000}"/>
    <cellStyle name="Normal 8 4 2 3 2" xfId="3205" xr:uid="{00000000-0005-0000-0000-0000E61D0000}"/>
    <cellStyle name="Normal 8 4 2 3 2 2" xfId="7427" xr:uid="{00000000-0005-0000-0000-0000E71D0000}"/>
    <cellStyle name="Normal 8 4 2 3 2 2 2" xfId="16709" xr:uid="{0BD9E208-3EFF-475D-969B-5D4933019E9D}"/>
    <cellStyle name="Normal 8 4 2 3 2 3" xfId="12492" xr:uid="{A93D203F-0423-4EC6-9425-0EFCFDD4B651}"/>
    <cellStyle name="Normal 8 4 2 3 3" xfId="5282" xr:uid="{00000000-0005-0000-0000-0000E81D0000}"/>
    <cellStyle name="Normal 8 4 2 3 3 2" xfId="14564" xr:uid="{8DBFC04E-E4FC-409D-B684-CE560399FF8D}"/>
    <cellStyle name="Normal 8 4 2 3 4" xfId="10347" xr:uid="{3765DCF5-74B1-4D71-BFB6-C76C48AF9DB8}"/>
    <cellStyle name="Normal 8 4 2 3 5" xfId="9519" xr:uid="{8E3CC7C7-4839-41A4-867B-136A1E34154B}"/>
    <cellStyle name="Normal 8 4 2 4" xfId="1388" xr:uid="{00000000-0005-0000-0000-0000E91D0000}"/>
    <cellStyle name="Normal 8 4 2 4 2" xfId="3618" xr:uid="{00000000-0005-0000-0000-0000EA1D0000}"/>
    <cellStyle name="Normal 8 4 2 4 2 2" xfId="7840" xr:uid="{00000000-0005-0000-0000-0000EB1D0000}"/>
    <cellStyle name="Normal 8 4 2 4 2 2 2" xfId="17122" xr:uid="{65041466-013B-47A2-B5FF-35984C71A257}"/>
    <cellStyle name="Normal 8 4 2 4 2 3" xfId="12905" xr:uid="{A3D7EA0F-8EBD-4A87-B48C-EB82DBE3A27E}"/>
    <cellStyle name="Normal 8 4 2 4 3" xfId="5695" xr:uid="{00000000-0005-0000-0000-0000EC1D0000}"/>
    <cellStyle name="Normal 8 4 2 4 3 2" xfId="14977" xr:uid="{DD13090C-FE40-43E1-9E22-A997E532F795}"/>
    <cellStyle name="Normal 8 4 2 4 4" xfId="10760" xr:uid="{D40887FA-D2E2-4DCC-BE62-8A58A3232741}"/>
    <cellStyle name="Normal 8 4 2 5" xfId="1801" xr:uid="{00000000-0005-0000-0000-0000ED1D0000}"/>
    <cellStyle name="Normal 8 4 2 5 2" xfId="4031" xr:uid="{00000000-0005-0000-0000-0000EE1D0000}"/>
    <cellStyle name="Normal 8 4 2 5 2 2" xfId="8253" xr:uid="{00000000-0005-0000-0000-0000EF1D0000}"/>
    <cellStyle name="Normal 8 4 2 5 2 2 2" xfId="17535" xr:uid="{61C7E33A-25A4-4811-8A01-D6DE85BB035A}"/>
    <cellStyle name="Normal 8 4 2 5 2 3" xfId="13318" xr:uid="{1445CBE5-1D58-4C0B-BFBE-C5C08FA9968B}"/>
    <cellStyle name="Normal 8 4 2 5 3" xfId="6108" xr:uid="{00000000-0005-0000-0000-0000F01D0000}"/>
    <cellStyle name="Normal 8 4 2 5 3 2" xfId="15390" xr:uid="{2839B579-E0C1-4387-8E31-4A12EDF4ACA2}"/>
    <cellStyle name="Normal 8 4 2 5 4" xfId="11173" xr:uid="{689BD212-0320-4F67-9C71-A813697F5F64}"/>
    <cellStyle name="Normal 8 4 2 6" xfId="2215" xr:uid="{00000000-0005-0000-0000-0000F11D0000}"/>
    <cellStyle name="Normal 8 4 2 6 2" xfId="4444" xr:uid="{00000000-0005-0000-0000-0000F21D0000}"/>
    <cellStyle name="Normal 8 4 2 6 2 2" xfId="8666" xr:uid="{00000000-0005-0000-0000-0000F31D0000}"/>
    <cellStyle name="Normal 8 4 2 6 2 2 2" xfId="17948" xr:uid="{D9363108-C5F2-43F2-A05D-D865A96D7D1C}"/>
    <cellStyle name="Normal 8 4 2 6 2 3" xfId="13731" xr:uid="{C67555C4-B73A-463E-A219-567969895961}"/>
    <cellStyle name="Normal 8 4 2 6 3" xfId="6521" xr:uid="{00000000-0005-0000-0000-0000F41D0000}"/>
    <cellStyle name="Normal 8 4 2 6 3 2" xfId="15803" xr:uid="{686D71BF-DB38-4964-9038-0D5FC7E23FC3}"/>
    <cellStyle name="Normal 8 4 2 6 4" xfId="11586" xr:uid="{CF5FAD14-A8C0-4AB0-9E61-00FCADE3B1AB}"/>
    <cellStyle name="Normal 8 4 2 7" xfId="2651" xr:uid="{00000000-0005-0000-0000-0000F51D0000}"/>
    <cellStyle name="Normal 8 4 2 7 2" xfId="6934" xr:uid="{00000000-0005-0000-0000-0000F61D0000}"/>
    <cellStyle name="Normal 8 4 2 7 2 2" xfId="16216" xr:uid="{C2EEDE61-B4B7-4BC9-AD5B-945F5E5D44A9}"/>
    <cellStyle name="Normal 8 4 2 7 3" xfId="11999" xr:uid="{49DC4367-906D-47E9-BE17-7373CB2E2308}"/>
    <cellStyle name="Normal 8 4 2 8" xfId="4869" xr:uid="{00000000-0005-0000-0000-0000F71D0000}"/>
    <cellStyle name="Normal 8 4 2 8 2" xfId="14151" xr:uid="{DEBF6508-B98F-4FDF-9294-E1446CEF4247}"/>
    <cellStyle name="Normal 8 4 2 9" xfId="9934" xr:uid="{E3929C8A-06F7-41CF-BA2F-509B73797CB4}"/>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11" xr:uid="{F06D789D-CBE0-415D-B047-09ED22E00CA1}"/>
    <cellStyle name="Normal 8 4 3 2 2 3" xfId="12494" xr:uid="{8C3AFC06-00C8-4727-AFA5-425DE9D1D542}"/>
    <cellStyle name="Normal 8 4 3 2 3" xfId="5284" xr:uid="{00000000-0005-0000-0000-0000FC1D0000}"/>
    <cellStyle name="Normal 8 4 3 2 3 2" xfId="14566" xr:uid="{D276FB0B-6895-4B45-A24B-6C0EA9619298}"/>
    <cellStyle name="Normal 8 4 3 2 4" xfId="10349" xr:uid="{6DEC21AA-36CE-43A5-994E-E39E038DFB93}"/>
    <cellStyle name="Normal 8 4 3 2 5" xfId="9521" xr:uid="{9E0AEA7A-7882-4B3B-AD14-68432BB2A39C}"/>
    <cellStyle name="Normal 8 4 3 3" xfId="1390" xr:uid="{00000000-0005-0000-0000-0000FD1D0000}"/>
    <cellStyle name="Normal 8 4 3 3 2" xfId="3620" xr:uid="{00000000-0005-0000-0000-0000FE1D0000}"/>
    <cellStyle name="Normal 8 4 3 3 2 2" xfId="7842" xr:uid="{00000000-0005-0000-0000-0000FF1D0000}"/>
    <cellStyle name="Normal 8 4 3 3 2 2 2" xfId="17124" xr:uid="{E07B7D61-0D82-4ED8-A817-D3E8651923E7}"/>
    <cellStyle name="Normal 8 4 3 3 2 3" xfId="12907" xr:uid="{FC55567C-DB18-4BE8-A329-A3668BA78D58}"/>
    <cellStyle name="Normal 8 4 3 3 3" xfId="5697" xr:uid="{00000000-0005-0000-0000-0000001E0000}"/>
    <cellStyle name="Normal 8 4 3 3 3 2" xfId="14979" xr:uid="{FFD396D6-87EC-4BE2-B211-A920E36800FD}"/>
    <cellStyle name="Normal 8 4 3 3 4" xfId="10762" xr:uid="{C61352C8-D6A2-43EB-800A-B2ACC73167A4}"/>
    <cellStyle name="Normal 8 4 3 4" xfId="1803" xr:uid="{00000000-0005-0000-0000-0000011E0000}"/>
    <cellStyle name="Normal 8 4 3 4 2" xfId="4033" xr:uid="{00000000-0005-0000-0000-0000021E0000}"/>
    <cellStyle name="Normal 8 4 3 4 2 2" xfId="8255" xr:uid="{00000000-0005-0000-0000-0000031E0000}"/>
    <cellStyle name="Normal 8 4 3 4 2 2 2" xfId="17537" xr:uid="{03D2A0FB-B6CC-4925-99C6-9C2ECCEF1622}"/>
    <cellStyle name="Normal 8 4 3 4 2 3" xfId="13320" xr:uid="{A678921F-56DD-4086-86D6-E1824A3EE416}"/>
    <cellStyle name="Normal 8 4 3 4 3" xfId="6110" xr:uid="{00000000-0005-0000-0000-0000041E0000}"/>
    <cellStyle name="Normal 8 4 3 4 3 2" xfId="15392" xr:uid="{43FF862F-38EE-4711-A371-8C2BC63C4D3D}"/>
    <cellStyle name="Normal 8 4 3 4 4" xfId="11175" xr:uid="{B07C33D4-47F7-4C95-A975-5E1A81159423}"/>
    <cellStyle name="Normal 8 4 3 5" xfId="2217" xr:uid="{00000000-0005-0000-0000-0000051E0000}"/>
    <cellStyle name="Normal 8 4 3 5 2" xfId="4446" xr:uid="{00000000-0005-0000-0000-0000061E0000}"/>
    <cellStyle name="Normal 8 4 3 5 2 2" xfId="8668" xr:uid="{00000000-0005-0000-0000-0000071E0000}"/>
    <cellStyle name="Normal 8 4 3 5 2 2 2" xfId="17950" xr:uid="{C0E26AD7-1F78-4FBB-9A20-53C1A106F3B0}"/>
    <cellStyle name="Normal 8 4 3 5 2 3" xfId="13733" xr:uid="{015EF107-327F-498C-8B1C-032B1CAE2495}"/>
    <cellStyle name="Normal 8 4 3 5 3" xfId="6523" xr:uid="{00000000-0005-0000-0000-0000081E0000}"/>
    <cellStyle name="Normal 8 4 3 5 3 2" xfId="15805" xr:uid="{8FB503FE-4D8F-4DFA-9630-65390CA4C806}"/>
    <cellStyle name="Normal 8 4 3 5 4" xfId="11588" xr:uid="{D12935E2-5375-4F5B-8AD6-7B7557DA53EF}"/>
    <cellStyle name="Normal 8 4 3 6" xfId="2653" xr:uid="{00000000-0005-0000-0000-0000091E0000}"/>
    <cellStyle name="Normal 8 4 3 6 2" xfId="6936" xr:uid="{00000000-0005-0000-0000-00000A1E0000}"/>
    <cellStyle name="Normal 8 4 3 6 2 2" xfId="16218" xr:uid="{00A4542A-BE87-4F61-AEFC-D2BFCF4712F9}"/>
    <cellStyle name="Normal 8 4 3 6 3" xfId="12001" xr:uid="{FD3C9A6A-F804-4992-B3E7-8F471D573BDC}"/>
    <cellStyle name="Normal 8 4 3 7" xfId="4871" xr:uid="{00000000-0005-0000-0000-00000B1E0000}"/>
    <cellStyle name="Normal 8 4 3 7 2" xfId="14153" xr:uid="{14F3325B-57D6-458C-8644-FD78AEA8ABB5}"/>
    <cellStyle name="Normal 8 4 3 8" xfId="9936" xr:uid="{B17356AF-FB1E-4107-8685-CFA97F122A08}"/>
    <cellStyle name="Normal 8 4 3 9" xfId="9102" xr:uid="{1650A360-3218-43D5-B758-F30A486685C3}"/>
    <cellStyle name="Normal 8 4 4" xfId="970" xr:uid="{00000000-0005-0000-0000-00000C1E0000}"/>
    <cellStyle name="Normal 8 4 4 2" xfId="3204" xr:uid="{00000000-0005-0000-0000-00000D1E0000}"/>
    <cellStyle name="Normal 8 4 4 2 2" xfId="7426" xr:uid="{00000000-0005-0000-0000-00000E1E0000}"/>
    <cellStyle name="Normal 8 4 4 2 2 2" xfId="16708" xr:uid="{0C95B952-A615-49D4-B4A8-36DD7129B341}"/>
    <cellStyle name="Normal 8 4 4 2 3" xfId="12491" xr:uid="{741FB7ED-DB33-4864-9119-06325F2F02F5}"/>
    <cellStyle name="Normal 8 4 4 3" xfId="5281" xr:uid="{00000000-0005-0000-0000-00000F1E0000}"/>
    <cellStyle name="Normal 8 4 4 3 2" xfId="14563" xr:uid="{6F03A676-4A70-4E02-A15D-3D4AF059CBFC}"/>
    <cellStyle name="Normal 8 4 4 4" xfId="10346" xr:uid="{360F22FA-FA7A-4464-B4E9-72A50CCB891B}"/>
    <cellStyle name="Normal 8 4 4 5" xfId="9518" xr:uid="{D7B78198-AC55-4AEB-A625-DB3020350264}"/>
    <cellStyle name="Normal 8 4 5" xfId="1387" xr:uid="{00000000-0005-0000-0000-0000101E0000}"/>
    <cellStyle name="Normal 8 4 5 2" xfId="3617" xr:uid="{00000000-0005-0000-0000-0000111E0000}"/>
    <cellStyle name="Normal 8 4 5 2 2" xfId="7839" xr:uid="{00000000-0005-0000-0000-0000121E0000}"/>
    <cellStyle name="Normal 8 4 5 2 2 2" xfId="17121" xr:uid="{80CD2E3A-67D1-4309-922E-33C39092699C}"/>
    <cellStyle name="Normal 8 4 5 2 3" xfId="12904" xr:uid="{94E028D2-0EAC-424D-B45F-11CBCC39E3BA}"/>
    <cellStyle name="Normal 8 4 5 3" xfId="5694" xr:uid="{00000000-0005-0000-0000-0000131E0000}"/>
    <cellStyle name="Normal 8 4 5 3 2" xfId="14976" xr:uid="{39313AD6-353F-4EA4-8994-9B615E9EA2D7}"/>
    <cellStyle name="Normal 8 4 5 4" xfId="10759" xr:uid="{FC1EF412-5927-45DD-87D4-E0894D472F33}"/>
    <cellStyle name="Normal 8 4 6" xfId="1800" xr:uid="{00000000-0005-0000-0000-0000141E0000}"/>
    <cellStyle name="Normal 8 4 6 2" xfId="4030" xr:uid="{00000000-0005-0000-0000-0000151E0000}"/>
    <cellStyle name="Normal 8 4 6 2 2" xfId="8252" xr:uid="{00000000-0005-0000-0000-0000161E0000}"/>
    <cellStyle name="Normal 8 4 6 2 2 2" xfId="17534" xr:uid="{4677729C-CF3A-4BF6-80C8-E03BAE5303DC}"/>
    <cellStyle name="Normal 8 4 6 2 3" xfId="13317" xr:uid="{63C04E0E-F45B-4282-AD23-6C60D6E409AF}"/>
    <cellStyle name="Normal 8 4 6 3" xfId="6107" xr:uid="{00000000-0005-0000-0000-0000171E0000}"/>
    <cellStyle name="Normal 8 4 6 3 2" xfId="15389" xr:uid="{ADD46A53-0F5F-4F51-B57A-970C40821924}"/>
    <cellStyle name="Normal 8 4 6 4" xfId="11172" xr:uid="{10098691-4F12-46B8-A7A7-8F08CF5CFFD3}"/>
    <cellStyle name="Normal 8 4 7" xfId="2214" xr:uid="{00000000-0005-0000-0000-0000181E0000}"/>
    <cellStyle name="Normal 8 4 7 2" xfId="4443" xr:uid="{00000000-0005-0000-0000-0000191E0000}"/>
    <cellStyle name="Normal 8 4 7 2 2" xfId="8665" xr:uid="{00000000-0005-0000-0000-00001A1E0000}"/>
    <cellStyle name="Normal 8 4 7 2 2 2" xfId="17947" xr:uid="{BC56DD19-DD16-4F72-9DEF-ABD4D7E48750}"/>
    <cellStyle name="Normal 8 4 7 2 3" xfId="13730" xr:uid="{DD24B6BA-811E-4F55-ABE7-7513247D4C8A}"/>
    <cellStyle name="Normal 8 4 7 3" xfId="6520" xr:uid="{00000000-0005-0000-0000-00001B1E0000}"/>
    <cellStyle name="Normal 8 4 7 3 2" xfId="15802" xr:uid="{042AE45D-B9F9-442C-97AF-AAE6733917E9}"/>
    <cellStyle name="Normal 8 4 7 4" xfId="11585" xr:uid="{2B9BD5DB-A9ED-4D7F-BB86-7AF88C77870B}"/>
    <cellStyle name="Normal 8 4 8" xfId="2650" xr:uid="{00000000-0005-0000-0000-00001C1E0000}"/>
    <cellStyle name="Normal 8 4 8 2" xfId="6933" xr:uid="{00000000-0005-0000-0000-00001D1E0000}"/>
    <cellStyle name="Normal 8 4 8 2 2" xfId="16215" xr:uid="{225B75BA-2726-4A89-A97C-E399A08D7CCB}"/>
    <cellStyle name="Normal 8 4 8 3" xfId="11998" xr:uid="{752433FD-B945-4900-B6BE-2C3ED55B60AD}"/>
    <cellStyle name="Normal 8 4 9" xfId="4868" xr:uid="{00000000-0005-0000-0000-00001E1E0000}"/>
    <cellStyle name="Normal 8 4 9 2" xfId="14150" xr:uid="{1494E027-CCA6-4776-A71D-3E67AA8383D8}"/>
    <cellStyle name="Normal 8 5" xfId="507" xr:uid="{00000000-0005-0000-0000-00001F1E0000}"/>
    <cellStyle name="Normal 8 5 10" xfId="9103" xr:uid="{35F1894E-EB0C-487D-930C-D41D45DD56DC}"/>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13" xr:uid="{B00B7050-4FB7-4036-87B8-23E4621FA00C}"/>
    <cellStyle name="Normal 8 5 2 2 2 3" xfId="12496" xr:uid="{EE06B0C9-88D8-424B-92A7-5D468C21454F}"/>
    <cellStyle name="Normal 8 5 2 2 3" xfId="5286" xr:uid="{00000000-0005-0000-0000-0000241E0000}"/>
    <cellStyle name="Normal 8 5 2 2 3 2" xfId="14568" xr:uid="{9F698E2B-3912-4EC3-931D-0A159C96AB22}"/>
    <cellStyle name="Normal 8 5 2 2 4" xfId="10351" xr:uid="{3AA81C63-FB63-4E47-804C-EB3338424096}"/>
    <cellStyle name="Normal 8 5 2 2 5" xfId="9523" xr:uid="{D318D313-1265-4425-8603-F2BD3E6B1F35}"/>
    <cellStyle name="Normal 8 5 2 3" xfId="1392" xr:uid="{00000000-0005-0000-0000-0000251E0000}"/>
    <cellStyle name="Normal 8 5 2 3 2" xfId="3622" xr:uid="{00000000-0005-0000-0000-0000261E0000}"/>
    <cellStyle name="Normal 8 5 2 3 2 2" xfId="7844" xr:uid="{00000000-0005-0000-0000-0000271E0000}"/>
    <cellStyle name="Normal 8 5 2 3 2 2 2" xfId="17126" xr:uid="{3032F660-1D28-46B3-8016-267B5EF3AC9E}"/>
    <cellStyle name="Normal 8 5 2 3 2 3" xfId="12909" xr:uid="{F4B9BF1F-AEF1-48CB-96FF-D0F320D54F9E}"/>
    <cellStyle name="Normal 8 5 2 3 3" xfId="5699" xr:uid="{00000000-0005-0000-0000-0000281E0000}"/>
    <cellStyle name="Normal 8 5 2 3 3 2" xfId="14981" xr:uid="{BDB7D243-2B60-4EF0-BBE8-FCD1181CECE8}"/>
    <cellStyle name="Normal 8 5 2 3 4" xfId="10764" xr:uid="{7A0AC1F0-EA4F-4C7E-BA34-3DE4BAD8A134}"/>
    <cellStyle name="Normal 8 5 2 4" xfId="1805" xr:uid="{00000000-0005-0000-0000-0000291E0000}"/>
    <cellStyle name="Normal 8 5 2 4 2" xfId="4035" xr:uid="{00000000-0005-0000-0000-00002A1E0000}"/>
    <cellStyle name="Normal 8 5 2 4 2 2" xfId="8257" xr:uid="{00000000-0005-0000-0000-00002B1E0000}"/>
    <cellStyle name="Normal 8 5 2 4 2 2 2" xfId="17539" xr:uid="{3E0EE222-5C27-4739-BAD9-5E1476220246}"/>
    <cellStyle name="Normal 8 5 2 4 2 3" xfId="13322" xr:uid="{822E7346-74A3-4B0E-8334-4434979DFF4E}"/>
    <cellStyle name="Normal 8 5 2 4 3" xfId="6112" xr:uid="{00000000-0005-0000-0000-00002C1E0000}"/>
    <cellStyle name="Normal 8 5 2 4 3 2" xfId="15394" xr:uid="{5154A839-090E-4B71-8A27-3B6554FBF8A7}"/>
    <cellStyle name="Normal 8 5 2 4 4" xfId="11177" xr:uid="{95B62C63-7EAF-4FE2-9965-5682C2345A52}"/>
    <cellStyle name="Normal 8 5 2 5" xfId="2219" xr:uid="{00000000-0005-0000-0000-00002D1E0000}"/>
    <cellStyle name="Normal 8 5 2 5 2" xfId="4448" xr:uid="{00000000-0005-0000-0000-00002E1E0000}"/>
    <cellStyle name="Normal 8 5 2 5 2 2" xfId="8670" xr:uid="{00000000-0005-0000-0000-00002F1E0000}"/>
    <cellStyle name="Normal 8 5 2 5 2 2 2" xfId="17952" xr:uid="{01847C13-5B82-4979-A965-2D5131B4F45D}"/>
    <cellStyle name="Normal 8 5 2 5 2 3" xfId="13735" xr:uid="{59729338-B086-42CA-A101-EDD7BF57E3E2}"/>
    <cellStyle name="Normal 8 5 2 5 3" xfId="6525" xr:uid="{00000000-0005-0000-0000-0000301E0000}"/>
    <cellStyle name="Normal 8 5 2 5 3 2" xfId="15807" xr:uid="{914049A9-AECF-40F0-8792-A32D495DC707}"/>
    <cellStyle name="Normal 8 5 2 5 4" xfId="11590" xr:uid="{56D427F4-1552-4B43-AD28-D18248C410B8}"/>
    <cellStyle name="Normal 8 5 2 6" xfId="2655" xr:uid="{00000000-0005-0000-0000-0000311E0000}"/>
    <cellStyle name="Normal 8 5 2 6 2" xfId="6938" xr:uid="{00000000-0005-0000-0000-0000321E0000}"/>
    <cellStyle name="Normal 8 5 2 6 2 2" xfId="16220" xr:uid="{5EA8D16D-403C-4320-96AA-D89A40F3E2C7}"/>
    <cellStyle name="Normal 8 5 2 6 3" xfId="12003" xr:uid="{80E61E7C-AF1D-4C7C-8144-C0F40C713C15}"/>
    <cellStyle name="Normal 8 5 2 7" xfId="4873" xr:uid="{00000000-0005-0000-0000-0000331E0000}"/>
    <cellStyle name="Normal 8 5 2 7 2" xfId="14155" xr:uid="{34490343-EAA3-4059-B731-C66805989CD2}"/>
    <cellStyle name="Normal 8 5 2 8" xfId="9938" xr:uid="{40CFECF7-A888-4A97-9378-0B36343DD819}"/>
    <cellStyle name="Normal 8 5 2 9" xfId="9104" xr:uid="{D03B029C-C042-4871-AD84-1FFDF242EC40}"/>
    <cellStyle name="Normal 8 5 3" xfId="974" xr:uid="{00000000-0005-0000-0000-0000341E0000}"/>
    <cellStyle name="Normal 8 5 3 2" xfId="3208" xr:uid="{00000000-0005-0000-0000-0000351E0000}"/>
    <cellStyle name="Normal 8 5 3 2 2" xfId="7430" xr:uid="{00000000-0005-0000-0000-0000361E0000}"/>
    <cellStyle name="Normal 8 5 3 2 2 2" xfId="16712" xr:uid="{FA865B89-05CD-48F0-A91F-5AB508250F73}"/>
    <cellStyle name="Normal 8 5 3 2 3" xfId="12495" xr:uid="{9D599978-6080-48AE-BFED-1D591792AB37}"/>
    <cellStyle name="Normal 8 5 3 3" xfId="5285" xr:uid="{00000000-0005-0000-0000-0000371E0000}"/>
    <cellStyle name="Normal 8 5 3 3 2" xfId="14567" xr:uid="{A6B1AF42-3406-4762-8E6E-CE9FFA1437E9}"/>
    <cellStyle name="Normal 8 5 3 4" xfId="10350" xr:uid="{2145811D-8A99-4691-AAC6-E027D2DA8DFC}"/>
    <cellStyle name="Normal 8 5 3 5" xfId="9522" xr:uid="{84FBF9ED-3E78-41C8-8A58-FE62463A3053}"/>
    <cellStyle name="Normal 8 5 4" xfId="1391" xr:uid="{00000000-0005-0000-0000-0000381E0000}"/>
    <cellStyle name="Normal 8 5 4 2" xfId="3621" xr:uid="{00000000-0005-0000-0000-0000391E0000}"/>
    <cellStyle name="Normal 8 5 4 2 2" xfId="7843" xr:uid="{00000000-0005-0000-0000-00003A1E0000}"/>
    <cellStyle name="Normal 8 5 4 2 2 2" xfId="17125" xr:uid="{3458F31D-22D8-463E-8AA8-C86EA43A714A}"/>
    <cellStyle name="Normal 8 5 4 2 3" xfId="12908" xr:uid="{926F6A5E-22F1-40DE-9184-35B78ED5B2AC}"/>
    <cellStyle name="Normal 8 5 4 3" xfId="5698" xr:uid="{00000000-0005-0000-0000-00003B1E0000}"/>
    <cellStyle name="Normal 8 5 4 3 2" xfId="14980" xr:uid="{DFA38B0B-7790-4BD2-BB6B-B6040E630F7A}"/>
    <cellStyle name="Normal 8 5 4 4" xfId="10763" xr:uid="{1C753822-0E0E-4B5B-9B03-EA8C5D0DE04E}"/>
    <cellStyle name="Normal 8 5 5" xfId="1804" xr:uid="{00000000-0005-0000-0000-00003C1E0000}"/>
    <cellStyle name="Normal 8 5 5 2" xfId="4034" xr:uid="{00000000-0005-0000-0000-00003D1E0000}"/>
    <cellStyle name="Normal 8 5 5 2 2" xfId="8256" xr:uid="{00000000-0005-0000-0000-00003E1E0000}"/>
    <cellStyle name="Normal 8 5 5 2 2 2" xfId="17538" xr:uid="{1741843F-2EFD-44DB-BE71-AD6F5DEBE6A8}"/>
    <cellStyle name="Normal 8 5 5 2 3" xfId="13321" xr:uid="{4758B307-3FDE-496D-9A91-0B2684DC06CB}"/>
    <cellStyle name="Normal 8 5 5 3" xfId="6111" xr:uid="{00000000-0005-0000-0000-00003F1E0000}"/>
    <cellStyle name="Normal 8 5 5 3 2" xfId="15393" xr:uid="{EA1DD157-BAE1-409A-AAD7-0D84A44ADE5B}"/>
    <cellStyle name="Normal 8 5 5 4" xfId="11176" xr:uid="{CC0C7BC9-8A64-48DE-AD5D-B7BCA9128118}"/>
    <cellStyle name="Normal 8 5 6" xfId="2218" xr:uid="{00000000-0005-0000-0000-0000401E0000}"/>
    <cellStyle name="Normal 8 5 6 2" xfId="4447" xr:uid="{00000000-0005-0000-0000-0000411E0000}"/>
    <cellStyle name="Normal 8 5 6 2 2" xfId="8669" xr:uid="{00000000-0005-0000-0000-0000421E0000}"/>
    <cellStyle name="Normal 8 5 6 2 2 2" xfId="17951" xr:uid="{A4075D5E-F62A-4DB7-8368-1E17431D595F}"/>
    <cellStyle name="Normal 8 5 6 2 3" xfId="13734" xr:uid="{626DE542-D148-4F7A-8C82-BF863DB8E5EF}"/>
    <cellStyle name="Normal 8 5 6 3" xfId="6524" xr:uid="{00000000-0005-0000-0000-0000431E0000}"/>
    <cellStyle name="Normal 8 5 6 3 2" xfId="15806" xr:uid="{0F4F8905-1A2F-4705-8045-9634504A3AE9}"/>
    <cellStyle name="Normal 8 5 6 4" xfId="11589" xr:uid="{C8B209CB-BA00-4E6F-8448-081D795E57ED}"/>
    <cellStyle name="Normal 8 5 7" xfId="2654" xr:uid="{00000000-0005-0000-0000-0000441E0000}"/>
    <cellStyle name="Normal 8 5 7 2" xfId="6937" xr:uid="{00000000-0005-0000-0000-0000451E0000}"/>
    <cellStyle name="Normal 8 5 7 2 2" xfId="16219" xr:uid="{3D54EFF3-4D37-4916-B377-E1BB40791739}"/>
    <cellStyle name="Normal 8 5 7 3" xfId="12002" xr:uid="{D9880CA5-0933-4BFB-BAA6-B615184CD07F}"/>
    <cellStyle name="Normal 8 5 8" xfId="4872" xr:uid="{00000000-0005-0000-0000-0000461E0000}"/>
    <cellStyle name="Normal 8 5 8 2" xfId="14154" xr:uid="{2133C0AC-8F32-42CE-B902-655897C09E85}"/>
    <cellStyle name="Normal 8 5 9" xfId="9937" xr:uid="{303D1D41-F5B4-4FB5-A1B5-8545F3B83FDA}"/>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14" xr:uid="{9DE53AD1-BBE6-464C-83C0-2AFFA629644D}"/>
    <cellStyle name="Normal 8 6 2 2 3" xfId="12497" xr:uid="{1944AB98-FCF4-417E-95AE-2585A380E05F}"/>
    <cellStyle name="Normal 8 6 2 3" xfId="5287" xr:uid="{00000000-0005-0000-0000-00004B1E0000}"/>
    <cellStyle name="Normal 8 6 2 3 2" xfId="14569" xr:uid="{595F79B1-2A49-4ADE-8BEF-CC7EBA215A7E}"/>
    <cellStyle name="Normal 8 6 2 4" xfId="10352" xr:uid="{47D56060-ABCE-4ED6-8BDB-4403E796976C}"/>
    <cellStyle name="Normal 8 6 2 5" xfId="9524" xr:uid="{912B853E-5841-42AB-8ABB-3F5AE90AF457}"/>
    <cellStyle name="Normal 8 6 3" xfId="1393" xr:uid="{00000000-0005-0000-0000-00004C1E0000}"/>
    <cellStyle name="Normal 8 6 3 2" xfId="3623" xr:uid="{00000000-0005-0000-0000-00004D1E0000}"/>
    <cellStyle name="Normal 8 6 3 2 2" xfId="7845" xr:uid="{00000000-0005-0000-0000-00004E1E0000}"/>
    <cellStyle name="Normal 8 6 3 2 2 2" xfId="17127" xr:uid="{1648AE38-A5CD-4716-9813-632AE1D56517}"/>
    <cellStyle name="Normal 8 6 3 2 3" xfId="12910" xr:uid="{9BB21986-EAAF-4E22-BE87-7E6BF16CD6BA}"/>
    <cellStyle name="Normal 8 6 3 3" xfId="5700" xr:uid="{00000000-0005-0000-0000-00004F1E0000}"/>
    <cellStyle name="Normal 8 6 3 3 2" xfId="14982" xr:uid="{7FA66277-08CA-451E-BA08-8063082C803A}"/>
    <cellStyle name="Normal 8 6 3 4" xfId="10765" xr:uid="{AF4D0802-DBF2-471F-B3D5-F8CEEE6C4FEE}"/>
    <cellStyle name="Normal 8 6 4" xfId="1806" xr:uid="{00000000-0005-0000-0000-0000501E0000}"/>
    <cellStyle name="Normal 8 6 4 2" xfId="4036" xr:uid="{00000000-0005-0000-0000-0000511E0000}"/>
    <cellStyle name="Normal 8 6 4 2 2" xfId="8258" xr:uid="{00000000-0005-0000-0000-0000521E0000}"/>
    <cellStyle name="Normal 8 6 4 2 2 2" xfId="17540" xr:uid="{98C5AB2D-831C-4F1A-AABA-7D831C773AF6}"/>
    <cellStyle name="Normal 8 6 4 2 3" xfId="13323" xr:uid="{0F1D4A97-4E06-4159-9332-413366CE8BFC}"/>
    <cellStyle name="Normal 8 6 4 3" xfId="6113" xr:uid="{00000000-0005-0000-0000-0000531E0000}"/>
    <cellStyle name="Normal 8 6 4 3 2" xfId="15395" xr:uid="{C98EA6A9-2A65-4973-ABD7-4BAF02D5BB3E}"/>
    <cellStyle name="Normal 8 6 4 4" xfId="11178" xr:uid="{F74BCCB7-0DD3-4B5D-B23E-349D226451F9}"/>
    <cellStyle name="Normal 8 6 5" xfId="2220" xr:uid="{00000000-0005-0000-0000-0000541E0000}"/>
    <cellStyle name="Normal 8 6 5 2" xfId="4449" xr:uid="{00000000-0005-0000-0000-0000551E0000}"/>
    <cellStyle name="Normal 8 6 5 2 2" xfId="8671" xr:uid="{00000000-0005-0000-0000-0000561E0000}"/>
    <cellStyle name="Normal 8 6 5 2 2 2" xfId="17953" xr:uid="{F7935449-BB50-4B3E-A466-57AB2EB63EE5}"/>
    <cellStyle name="Normal 8 6 5 2 3" xfId="13736" xr:uid="{3C2E6222-55BD-48EE-9D89-E00BE45FA086}"/>
    <cellStyle name="Normal 8 6 5 3" xfId="6526" xr:uid="{00000000-0005-0000-0000-0000571E0000}"/>
    <cellStyle name="Normal 8 6 5 3 2" xfId="15808" xr:uid="{25E4ED7C-60C5-46E8-A31D-7D914AFC6B64}"/>
    <cellStyle name="Normal 8 6 5 4" xfId="11591" xr:uid="{849666C5-DA8A-44FE-9CD3-7948AE4DE80F}"/>
    <cellStyle name="Normal 8 6 6" xfId="2656" xr:uid="{00000000-0005-0000-0000-0000581E0000}"/>
    <cellStyle name="Normal 8 6 6 2" xfId="6939" xr:uid="{00000000-0005-0000-0000-0000591E0000}"/>
    <cellStyle name="Normal 8 6 6 2 2" xfId="16221" xr:uid="{6CF54E92-F366-4B9E-A8AC-B372EFC1F42C}"/>
    <cellStyle name="Normal 8 6 6 3" xfId="12004" xr:uid="{EDCD724E-4C6C-41AB-A426-7637D7FDBC3C}"/>
    <cellStyle name="Normal 8 6 7" xfId="4874" xr:uid="{00000000-0005-0000-0000-00005A1E0000}"/>
    <cellStyle name="Normal 8 6 7 2" xfId="14156" xr:uid="{E567AEC6-BA6F-4A1C-BC42-EED67E51827D}"/>
    <cellStyle name="Normal 8 6 8" xfId="9939" xr:uid="{765BD80E-6AF0-4EE5-93BB-7E528F4FB2D6}"/>
    <cellStyle name="Normal 8 6 9" xfId="9105" xr:uid="{F9F5A823-5205-4BB4-8CA2-A903B9AAA3B4}"/>
    <cellStyle name="Normal 8 7" xfId="945" xr:uid="{00000000-0005-0000-0000-00005B1E0000}"/>
    <cellStyle name="Normal 8 7 2" xfId="3179" xr:uid="{00000000-0005-0000-0000-00005C1E0000}"/>
    <cellStyle name="Normal 8 7 2 2" xfId="7401" xr:uid="{00000000-0005-0000-0000-00005D1E0000}"/>
    <cellStyle name="Normal 8 7 2 2 2" xfId="16683" xr:uid="{492B812B-C036-4135-9AD8-7185013FE57B}"/>
    <cellStyle name="Normal 8 7 2 3" xfId="12466" xr:uid="{E2B026A5-8E9E-4BF5-A7F5-CB4A0100D412}"/>
    <cellStyle name="Normal 8 7 3" xfId="5256" xr:uid="{00000000-0005-0000-0000-00005E1E0000}"/>
    <cellStyle name="Normal 8 7 3 2" xfId="14538" xr:uid="{147B938C-F4C8-4FFC-ACC2-505D2ADE4902}"/>
    <cellStyle name="Normal 8 7 4" xfId="10321" xr:uid="{26C6DB8D-523E-4A06-9C01-002335F44186}"/>
    <cellStyle name="Normal 8 7 5" xfId="9493" xr:uid="{CD9BF30F-39ED-4FA6-A0BC-57E4E2A8CED8}"/>
    <cellStyle name="Normal 8 8" xfId="1362" xr:uid="{00000000-0005-0000-0000-00005F1E0000}"/>
    <cellStyle name="Normal 8 8 2" xfId="3592" xr:uid="{00000000-0005-0000-0000-0000601E0000}"/>
    <cellStyle name="Normal 8 8 2 2" xfId="7814" xr:uid="{00000000-0005-0000-0000-0000611E0000}"/>
    <cellStyle name="Normal 8 8 2 2 2" xfId="17096" xr:uid="{2715BF0B-E585-4D6B-BFF4-726035801B10}"/>
    <cellStyle name="Normal 8 8 2 3" xfId="12879" xr:uid="{FC4EAC5B-1633-4F79-838E-F79AB5A8FAE7}"/>
    <cellStyle name="Normal 8 8 3" xfId="5669" xr:uid="{00000000-0005-0000-0000-0000621E0000}"/>
    <cellStyle name="Normal 8 8 3 2" xfId="14951" xr:uid="{B5B4DC14-F73C-489E-A6E9-8323933F6D21}"/>
    <cellStyle name="Normal 8 8 4" xfId="10734" xr:uid="{033E3B98-D37D-4140-AB75-EB7526075ED1}"/>
    <cellStyle name="Normal 8 9" xfId="1775" xr:uid="{00000000-0005-0000-0000-0000631E0000}"/>
    <cellStyle name="Normal 8 9 2" xfId="4005" xr:uid="{00000000-0005-0000-0000-0000641E0000}"/>
    <cellStyle name="Normal 8 9 2 2" xfId="8227" xr:uid="{00000000-0005-0000-0000-0000651E0000}"/>
    <cellStyle name="Normal 8 9 2 2 2" xfId="17509" xr:uid="{17EB21B9-525A-46F2-980A-B18198C5A712}"/>
    <cellStyle name="Normal 8 9 2 3" xfId="13292" xr:uid="{1FD42301-6D81-42F8-8475-B51EED049A8E}"/>
    <cellStyle name="Normal 8 9 3" xfId="6082" xr:uid="{00000000-0005-0000-0000-0000661E0000}"/>
    <cellStyle name="Normal 8 9 3 2" xfId="15364" xr:uid="{C8C36EE7-F309-4705-9679-C3CEDDB252D5}"/>
    <cellStyle name="Normal 8 9 4" xfId="11147" xr:uid="{F8D4195B-EE89-41B9-85C5-06AFA979F4A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22" xr:uid="{06DF2BD0-C668-4FAF-9D4D-3A5E07FB06A6}"/>
    <cellStyle name="Normal 9 2 10 3" xfId="12005" xr:uid="{3233FC2B-B70E-4718-85B4-2652C445BCD3}"/>
    <cellStyle name="Normal 9 2 11" xfId="4875" xr:uid="{00000000-0005-0000-0000-00006B1E0000}"/>
    <cellStyle name="Normal 9 2 11 2" xfId="14157" xr:uid="{0BE94D79-F499-4DFA-A7D9-7269772CAF39}"/>
    <cellStyle name="Normal 9 2 12" xfId="9940" xr:uid="{FFD2116C-EB58-44DE-BCA0-4FE2782A174A}"/>
    <cellStyle name="Normal 9 2 13" xfId="9106" xr:uid="{3ACB50E0-1015-4E8E-A611-E437B47B1C7F}"/>
    <cellStyle name="Normal 9 2 2" xfId="512" xr:uid="{00000000-0005-0000-0000-00006C1E0000}"/>
    <cellStyle name="Normal 9 2 2 10" xfId="4876" xr:uid="{00000000-0005-0000-0000-00006D1E0000}"/>
    <cellStyle name="Normal 9 2 2 10 2" xfId="14158" xr:uid="{26CCE88A-DDEB-4609-99F1-07E05769B4CE}"/>
    <cellStyle name="Normal 9 2 2 11" xfId="9941" xr:uid="{F85882A4-EF83-4D40-AD6D-6A6ED4CD9C86}"/>
    <cellStyle name="Normal 9 2 2 12" xfId="9107" xr:uid="{B621AFFC-0776-4570-9626-9D4B3868859C}"/>
    <cellStyle name="Normal 9 2 2 2" xfId="513" xr:uid="{00000000-0005-0000-0000-00006E1E0000}"/>
    <cellStyle name="Normal 9 2 2 2 10" xfId="9942" xr:uid="{78CA55EB-03D6-44C9-B10E-02E711A42761}"/>
    <cellStyle name="Normal 9 2 2 2 11" xfId="9108" xr:uid="{D65BCBDD-6A6A-4E96-942D-706281857186}"/>
    <cellStyle name="Normal 9 2 2 2 2" xfId="514" xr:uid="{00000000-0005-0000-0000-00006F1E0000}"/>
    <cellStyle name="Normal 9 2 2 2 2 10" xfId="9109" xr:uid="{132A0690-88ED-4812-9F4A-56B035FA4B02}"/>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19" xr:uid="{9966752A-E071-45F5-80D0-4D4BD4CA6519}"/>
    <cellStyle name="Normal 9 2 2 2 2 2 2 2 3" xfId="12502" xr:uid="{901F384B-3D6A-4B49-82EB-E02705611890}"/>
    <cellStyle name="Normal 9 2 2 2 2 2 2 3" xfId="5292" xr:uid="{00000000-0005-0000-0000-0000741E0000}"/>
    <cellStyle name="Normal 9 2 2 2 2 2 2 3 2" xfId="14574" xr:uid="{D47D5770-BADA-435D-AD2D-ADBF1B077A7F}"/>
    <cellStyle name="Normal 9 2 2 2 2 2 2 4" xfId="10357" xr:uid="{36E02187-4BCE-4EC2-B6B5-015D288979BC}"/>
    <cellStyle name="Normal 9 2 2 2 2 2 2 5" xfId="9529" xr:uid="{70D40A46-E535-48E9-A7EC-0BD1073DE212}"/>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32" xr:uid="{71AA975A-0FEE-470F-A938-F80B5651D12A}"/>
    <cellStyle name="Normal 9 2 2 2 2 2 3 2 3" xfId="12915" xr:uid="{900DA673-5C64-417D-850D-090EA19A612C}"/>
    <cellStyle name="Normal 9 2 2 2 2 2 3 3" xfId="5705" xr:uid="{00000000-0005-0000-0000-0000781E0000}"/>
    <cellStyle name="Normal 9 2 2 2 2 2 3 3 2" xfId="14987" xr:uid="{B622A91A-3964-448F-B320-E10FA702637D}"/>
    <cellStyle name="Normal 9 2 2 2 2 2 3 4" xfId="10770" xr:uid="{D709CF01-EE02-490D-92CE-0EA3B10228F3}"/>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45" xr:uid="{7E391754-EF63-4C9E-B5AE-6D5070FDD6C2}"/>
    <cellStyle name="Normal 9 2 2 2 2 2 4 2 3" xfId="13328" xr:uid="{0118371A-D477-49A0-8974-9D5E679284C1}"/>
    <cellStyle name="Normal 9 2 2 2 2 2 4 3" xfId="6118" xr:uid="{00000000-0005-0000-0000-00007C1E0000}"/>
    <cellStyle name="Normal 9 2 2 2 2 2 4 3 2" xfId="15400" xr:uid="{EE3B4954-60A2-4A91-A6D3-B34309A01F65}"/>
    <cellStyle name="Normal 9 2 2 2 2 2 4 4" xfId="11183" xr:uid="{5F869C51-C5AA-4EA6-8352-A281744AB53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958" xr:uid="{9BCE73D8-A597-4D2A-9F73-0A9A9E423636}"/>
    <cellStyle name="Normal 9 2 2 2 2 2 5 2 3" xfId="13741" xr:uid="{A22E688E-82BA-4F7C-B5E8-07D0821FBD81}"/>
    <cellStyle name="Normal 9 2 2 2 2 2 5 3" xfId="6531" xr:uid="{00000000-0005-0000-0000-0000801E0000}"/>
    <cellStyle name="Normal 9 2 2 2 2 2 5 3 2" xfId="15813" xr:uid="{DC5BCD26-CAD0-42C4-8675-0758B1C93D1A}"/>
    <cellStyle name="Normal 9 2 2 2 2 2 5 4" xfId="11596" xr:uid="{5A720786-F422-4D58-9B3A-DF889394B464}"/>
    <cellStyle name="Normal 9 2 2 2 2 2 6" xfId="2661" xr:uid="{00000000-0005-0000-0000-0000811E0000}"/>
    <cellStyle name="Normal 9 2 2 2 2 2 6 2" xfId="6944" xr:uid="{00000000-0005-0000-0000-0000821E0000}"/>
    <cellStyle name="Normal 9 2 2 2 2 2 6 2 2" xfId="16226" xr:uid="{89EF077E-84FF-47D3-9208-41B7004F5DEA}"/>
    <cellStyle name="Normal 9 2 2 2 2 2 6 3" xfId="12009" xr:uid="{506DBD55-FFED-4866-A50D-070AC6A6689D}"/>
    <cellStyle name="Normal 9 2 2 2 2 2 7" xfId="4879" xr:uid="{00000000-0005-0000-0000-0000831E0000}"/>
    <cellStyle name="Normal 9 2 2 2 2 2 7 2" xfId="14161" xr:uid="{65B4A34C-67E9-4CC1-A3D3-1CD928EBFF05}"/>
    <cellStyle name="Normal 9 2 2 2 2 2 8" xfId="9944" xr:uid="{D37613DC-A201-4590-BEFE-D589CAD4E548}"/>
    <cellStyle name="Normal 9 2 2 2 2 2 9" xfId="9110" xr:uid="{FD239482-8208-4811-A052-8220108FE25B}"/>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18" xr:uid="{1AE6E25A-21BA-4EE5-82A7-8E5BCF6C1713}"/>
    <cellStyle name="Normal 9 2 2 2 2 3 2 3" xfId="12501" xr:uid="{83CE108F-F196-4F9B-86B4-35C70BEB064B}"/>
    <cellStyle name="Normal 9 2 2 2 2 3 3" xfId="5291" xr:uid="{00000000-0005-0000-0000-0000871E0000}"/>
    <cellStyle name="Normal 9 2 2 2 2 3 3 2" xfId="14573" xr:uid="{41590B3B-95CF-4A0D-8AFE-90584C474C00}"/>
    <cellStyle name="Normal 9 2 2 2 2 3 4" xfId="10356" xr:uid="{7DF139B7-BF8D-4DB5-81F6-93A7A6B67B48}"/>
    <cellStyle name="Normal 9 2 2 2 2 3 5" xfId="9528" xr:uid="{9DA61DE2-DCA4-4AD0-9FD9-727254AA136C}"/>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31" xr:uid="{4567FC3B-8617-4C7D-9546-34DDECC06843}"/>
    <cellStyle name="Normal 9 2 2 2 2 4 2 3" xfId="12914" xr:uid="{EC9F8735-5A30-4B8D-9AD2-D8A533BEF751}"/>
    <cellStyle name="Normal 9 2 2 2 2 4 3" xfId="5704" xr:uid="{00000000-0005-0000-0000-00008B1E0000}"/>
    <cellStyle name="Normal 9 2 2 2 2 4 3 2" xfId="14986" xr:uid="{46B03079-BC13-4E18-8898-D5C09D2147F7}"/>
    <cellStyle name="Normal 9 2 2 2 2 4 4" xfId="10769" xr:uid="{2296091D-9D62-43A9-ACF5-0AE11B8EF5D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44" xr:uid="{E6573533-228D-40BF-8C3C-BB83E520CB35}"/>
    <cellStyle name="Normal 9 2 2 2 2 5 2 3" xfId="13327" xr:uid="{0F64FC35-280F-4BAC-A76B-F06004C246FD}"/>
    <cellStyle name="Normal 9 2 2 2 2 5 3" xfId="6117" xr:uid="{00000000-0005-0000-0000-00008F1E0000}"/>
    <cellStyle name="Normal 9 2 2 2 2 5 3 2" xfId="15399" xr:uid="{FFBFB36E-2356-46A9-A533-486F246AF8EE}"/>
    <cellStyle name="Normal 9 2 2 2 2 5 4" xfId="11182" xr:uid="{0FDA4D87-EF37-4E17-BEF9-29AF9AA64A46}"/>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957" xr:uid="{3A3E81DF-35E5-4194-AFEB-5BF953C73B38}"/>
    <cellStyle name="Normal 9 2 2 2 2 6 2 3" xfId="13740" xr:uid="{940CB232-CCDF-46D8-81BB-3CE0EF6896DF}"/>
    <cellStyle name="Normal 9 2 2 2 2 6 3" xfId="6530" xr:uid="{00000000-0005-0000-0000-0000931E0000}"/>
    <cellStyle name="Normal 9 2 2 2 2 6 3 2" xfId="15812" xr:uid="{432B77D2-B5FB-4160-9002-1B58CCA049A5}"/>
    <cellStyle name="Normal 9 2 2 2 2 6 4" xfId="11595" xr:uid="{B749A5CD-6961-4835-9D54-9996150462E0}"/>
    <cellStyle name="Normal 9 2 2 2 2 7" xfId="2660" xr:uid="{00000000-0005-0000-0000-0000941E0000}"/>
    <cellStyle name="Normal 9 2 2 2 2 7 2" xfId="6943" xr:uid="{00000000-0005-0000-0000-0000951E0000}"/>
    <cellStyle name="Normal 9 2 2 2 2 7 2 2" xfId="16225" xr:uid="{B6BC3525-C6E7-43FA-9358-D0E048B8E632}"/>
    <cellStyle name="Normal 9 2 2 2 2 7 3" xfId="12008" xr:uid="{999AE09E-A424-4042-8943-9BDB350D6C68}"/>
    <cellStyle name="Normal 9 2 2 2 2 8" xfId="4878" xr:uid="{00000000-0005-0000-0000-0000961E0000}"/>
    <cellStyle name="Normal 9 2 2 2 2 8 2" xfId="14160" xr:uid="{ACFF9ED1-1DC2-426D-A87B-2893B901F689}"/>
    <cellStyle name="Normal 9 2 2 2 2 9" xfId="9943" xr:uid="{D90DA4B6-4891-4013-89A4-A306C320E22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20" xr:uid="{1A626123-0881-435A-91A8-141A3FEFF92F}"/>
    <cellStyle name="Normal 9 2 2 2 3 2 2 3" xfId="12503" xr:uid="{6F8C50C9-3B72-4968-804D-6D7DA83A71DB}"/>
    <cellStyle name="Normal 9 2 2 2 3 2 3" xfId="5293" xr:uid="{00000000-0005-0000-0000-00009B1E0000}"/>
    <cellStyle name="Normal 9 2 2 2 3 2 3 2" xfId="14575" xr:uid="{CEC3CAD5-91B4-492B-9DE7-100F92F0B6B0}"/>
    <cellStyle name="Normal 9 2 2 2 3 2 4" xfId="10358" xr:uid="{EFD06DD1-E0DD-4ED5-BAA2-F104B159F648}"/>
    <cellStyle name="Normal 9 2 2 2 3 2 5" xfId="9530" xr:uid="{9D262FDE-06FD-4201-8E6D-AE82402CDBBF}"/>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33" xr:uid="{D005FD6C-1817-4D99-9BF4-6AC1405CC5BD}"/>
    <cellStyle name="Normal 9 2 2 2 3 3 2 3" xfId="12916" xr:uid="{492E62A8-1FCF-4D48-ADE9-3BA38067E5BA}"/>
    <cellStyle name="Normal 9 2 2 2 3 3 3" xfId="5706" xr:uid="{00000000-0005-0000-0000-00009F1E0000}"/>
    <cellStyle name="Normal 9 2 2 2 3 3 3 2" xfId="14988" xr:uid="{16651331-B385-4244-B047-D84D162005DC}"/>
    <cellStyle name="Normal 9 2 2 2 3 3 4" xfId="10771" xr:uid="{BDF6716D-996B-4142-8DEE-5AAE52B6CD9E}"/>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46" xr:uid="{195F3229-86F5-4451-A345-D73D56489D61}"/>
    <cellStyle name="Normal 9 2 2 2 3 4 2 3" xfId="13329" xr:uid="{610A35A4-5AFB-40C2-B0BE-109202DEFBE7}"/>
    <cellStyle name="Normal 9 2 2 2 3 4 3" xfId="6119" xr:uid="{00000000-0005-0000-0000-0000A31E0000}"/>
    <cellStyle name="Normal 9 2 2 2 3 4 3 2" xfId="15401" xr:uid="{BBB5067F-5E78-46DF-A856-C31527AC5870}"/>
    <cellStyle name="Normal 9 2 2 2 3 4 4" xfId="11184" xr:uid="{778DA1BE-27AC-404A-B73F-1807010D586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959" xr:uid="{13CD43C9-B996-4C01-AAB5-BCF057A0EFCE}"/>
    <cellStyle name="Normal 9 2 2 2 3 5 2 3" xfId="13742" xr:uid="{C43F011F-89F7-4D45-AE57-FCB019CA4885}"/>
    <cellStyle name="Normal 9 2 2 2 3 5 3" xfId="6532" xr:uid="{00000000-0005-0000-0000-0000A71E0000}"/>
    <cellStyle name="Normal 9 2 2 2 3 5 3 2" xfId="15814" xr:uid="{84A1C6BD-C39D-441F-88FB-16CE8A2ECC02}"/>
    <cellStyle name="Normal 9 2 2 2 3 5 4" xfId="11597" xr:uid="{B2F959F8-14ED-485C-B822-E1899D979D9E}"/>
    <cellStyle name="Normal 9 2 2 2 3 6" xfId="2662" xr:uid="{00000000-0005-0000-0000-0000A81E0000}"/>
    <cellStyle name="Normal 9 2 2 2 3 6 2" xfId="6945" xr:uid="{00000000-0005-0000-0000-0000A91E0000}"/>
    <cellStyle name="Normal 9 2 2 2 3 6 2 2" xfId="16227" xr:uid="{75FBB901-289E-4B7A-A2B5-D93CD3200BDE}"/>
    <cellStyle name="Normal 9 2 2 2 3 6 3" xfId="12010" xr:uid="{BC938DF0-98C1-4D41-86AB-BF2FE359EEEE}"/>
    <cellStyle name="Normal 9 2 2 2 3 7" xfId="4880" xr:uid="{00000000-0005-0000-0000-0000AA1E0000}"/>
    <cellStyle name="Normal 9 2 2 2 3 7 2" xfId="14162" xr:uid="{B71AC97D-4166-4A0A-8668-0B368097286F}"/>
    <cellStyle name="Normal 9 2 2 2 3 8" xfId="9945" xr:uid="{26C0426D-726E-477F-92EB-B5C3E4B7F7E8}"/>
    <cellStyle name="Normal 9 2 2 2 3 9" xfId="9111" xr:uid="{28F2B727-8CEA-4C83-978C-D3FC2BF2EDC8}"/>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17" xr:uid="{41D30154-E9A0-43CB-BD25-93DE917AD30C}"/>
    <cellStyle name="Normal 9 2 2 2 4 2 3" xfId="12500" xr:uid="{3F8CCEEB-676D-423A-80D8-516E0AEC0ED2}"/>
    <cellStyle name="Normal 9 2 2 2 4 3" xfId="5290" xr:uid="{00000000-0005-0000-0000-0000AE1E0000}"/>
    <cellStyle name="Normal 9 2 2 2 4 3 2" xfId="14572" xr:uid="{7C8B49BB-A241-4A09-BF85-A0657DD09FE7}"/>
    <cellStyle name="Normal 9 2 2 2 4 4" xfId="10355" xr:uid="{B6F0ED15-10C4-49D0-B22A-43B288A5B86E}"/>
    <cellStyle name="Normal 9 2 2 2 4 5" xfId="9527" xr:uid="{E5CBA219-AA36-48B8-9682-C7F0758AEC83}"/>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30" xr:uid="{587C2686-A02F-4BA1-964D-4A0CE6619335}"/>
    <cellStyle name="Normal 9 2 2 2 5 2 3" xfId="12913" xr:uid="{4A96DA84-2611-40BE-B4EE-5D764DE5CB5C}"/>
    <cellStyle name="Normal 9 2 2 2 5 3" xfId="5703" xr:uid="{00000000-0005-0000-0000-0000B21E0000}"/>
    <cellStyle name="Normal 9 2 2 2 5 3 2" xfId="14985" xr:uid="{1656E737-FA78-4F7D-AD68-E163949EB902}"/>
    <cellStyle name="Normal 9 2 2 2 5 4" xfId="10768" xr:uid="{5484F46F-2BF2-46D2-B708-543B8A6CE36C}"/>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43" xr:uid="{521458A4-11A7-4A9C-A25B-A1DEEE8B3DA0}"/>
    <cellStyle name="Normal 9 2 2 2 6 2 3" xfId="13326" xr:uid="{BB444A94-9F03-48DC-AE66-B9C8BA0ECE99}"/>
    <cellStyle name="Normal 9 2 2 2 6 3" xfId="6116" xr:uid="{00000000-0005-0000-0000-0000B61E0000}"/>
    <cellStyle name="Normal 9 2 2 2 6 3 2" xfId="15398" xr:uid="{887EA321-45B2-4494-98BA-6D8893E297A1}"/>
    <cellStyle name="Normal 9 2 2 2 6 4" xfId="11181" xr:uid="{31E03465-27E0-448D-ACEF-BF16460D2A97}"/>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956" xr:uid="{66D95A59-3EA9-41A5-8B2E-E5048A66787C}"/>
    <cellStyle name="Normal 9 2 2 2 7 2 3" xfId="13739" xr:uid="{771AB838-CDEF-4186-853D-AE3414528E31}"/>
    <cellStyle name="Normal 9 2 2 2 7 3" xfId="6529" xr:uid="{00000000-0005-0000-0000-0000BA1E0000}"/>
    <cellStyle name="Normal 9 2 2 2 7 3 2" xfId="15811" xr:uid="{AAFBCAB1-50C4-4524-8AA9-F7099DADF928}"/>
    <cellStyle name="Normal 9 2 2 2 7 4" xfId="11594" xr:uid="{F0EEAB05-D06E-44F2-A777-52C3DD9FE2DE}"/>
    <cellStyle name="Normal 9 2 2 2 8" xfId="2659" xr:uid="{00000000-0005-0000-0000-0000BB1E0000}"/>
    <cellStyle name="Normal 9 2 2 2 8 2" xfId="6942" xr:uid="{00000000-0005-0000-0000-0000BC1E0000}"/>
    <cellStyle name="Normal 9 2 2 2 8 2 2" xfId="16224" xr:uid="{C8DF6BB8-D8B5-48D1-BC53-815B1A76FD4B}"/>
    <cellStyle name="Normal 9 2 2 2 8 3" xfId="12007" xr:uid="{43704D8D-0E6C-41F3-9000-1D4A1C8E0946}"/>
    <cellStyle name="Normal 9 2 2 2 9" xfId="4877" xr:uid="{00000000-0005-0000-0000-0000BD1E0000}"/>
    <cellStyle name="Normal 9 2 2 2 9 2" xfId="14159" xr:uid="{95DDCBA2-7461-47E3-8B99-5F174245F6BC}"/>
    <cellStyle name="Normal 9 2 2 3" xfId="517" xr:uid="{00000000-0005-0000-0000-0000BE1E0000}"/>
    <cellStyle name="Normal 9 2 2 3 10" xfId="9112" xr:uid="{6271F998-E1AC-4533-B225-F6AB47B9D86C}"/>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22" xr:uid="{20D3B868-96F0-4544-A2E9-9BC755292346}"/>
    <cellStyle name="Normal 9 2 2 3 2 2 2 3" xfId="12505" xr:uid="{A32DDAD0-B13F-4A16-BF41-42AC2A786C2A}"/>
    <cellStyle name="Normal 9 2 2 3 2 2 3" xfId="5295" xr:uid="{00000000-0005-0000-0000-0000C31E0000}"/>
    <cellStyle name="Normal 9 2 2 3 2 2 3 2" xfId="14577" xr:uid="{48C1CDFC-EFB4-43C8-ADBE-B471EAD997B2}"/>
    <cellStyle name="Normal 9 2 2 3 2 2 4" xfId="10360" xr:uid="{FA7F3870-E5C5-41A4-BFAD-EDC92B30EFB5}"/>
    <cellStyle name="Normal 9 2 2 3 2 2 5" xfId="9532" xr:uid="{B0563DE6-80C0-4D5F-A2F0-C63463440D17}"/>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35" xr:uid="{67312151-E0DC-42AF-BA4E-6D090B640F5E}"/>
    <cellStyle name="Normal 9 2 2 3 2 3 2 3" xfId="12918" xr:uid="{1ECF1C0F-5E00-468E-BC34-C293F0743CB7}"/>
    <cellStyle name="Normal 9 2 2 3 2 3 3" xfId="5708" xr:uid="{00000000-0005-0000-0000-0000C71E0000}"/>
    <cellStyle name="Normal 9 2 2 3 2 3 3 2" xfId="14990" xr:uid="{A75524F1-BEAF-4CCC-8389-5FDFA94F22D7}"/>
    <cellStyle name="Normal 9 2 2 3 2 3 4" xfId="10773" xr:uid="{AB90D18E-75AA-424C-BF3E-D04566DC6E2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48" xr:uid="{BEB405E0-D908-4B99-9718-194AE4EA72AF}"/>
    <cellStyle name="Normal 9 2 2 3 2 4 2 3" xfId="13331" xr:uid="{989F9825-496E-469A-9C8E-541B29BF11DE}"/>
    <cellStyle name="Normal 9 2 2 3 2 4 3" xfId="6121" xr:uid="{00000000-0005-0000-0000-0000CB1E0000}"/>
    <cellStyle name="Normal 9 2 2 3 2 4 3 2" xfId="15403" xr:uid="{037FEC30-6742-4284-9C77-834449B3C60D}"/>
    <cellStyle name="Normal 9 2 2 3 2 4 4" xfId="11186" xr:uid="{4F2015D7-DC2A-4890-B33F-AB991905533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961" xr:uid="{05820894-F445-45C4-B184-ABF735A024F6}"/>
    <cellStyle name="Normal 9 2 2 3 2 5 2 3" xfId="13744" xr:uid="{7012053F-414B-4ABF-B3DF-02149D5F83AF}"/>
    <cellStyle name="Normal 9 2 2 3 2 5 3" xfId="6534" xr:uid="{00000000-0005-0000-0000-0000CF1E0000}"/>
    <cellStyle name="Normal 9 2 2 3 2 5 3 2" xfId="15816" xr:uid="{C1DB3B29-2CEA-455A-99C4-1272C28E1802}"/>
    <cellStyle name="Normal 9 2 2 3 2 5 4" xfId="11599" xr:uid="{DB56BF70-9A3B-41BB-93CE-727FCB6F3E23}"/>
    <cellStyle name="Normal 9 2 2 3 2 6" xfId="2664" xr:uid="{00000000-0005-0000-0000-0000D01E0000}"/>
    <cellStyle name="Normal 9 2 2 3 2 6 2" xfId="6947" xr:uid="{00000000-0005-0000-0000-0000D11E0000}"/>
    <cellStyle name="Normal 9 2 2 3 2 6 2 2" xfId="16229" xr:uid="{00ACA64F-B834-4111-A1CD-863C5D03A410}"/>
    <cellStyle name="Normal 9 2 2 3 2 6 3" xfId="12012" xr:uid="{BF681881-ED5C-453C-BF18-6C242E068123}"/>
    <cellStyle name="Normal 9 2 2 3 2 7" xfId="4882" xr:uid="{00000000-0005-0000-0000-0000D21E0000}"/>
    <cellStyle name="Normal 9 2 2 3 2 7 2" xfId="14164" xr:uid="{37A78106-B622-48B6-AC64-5E7E7BE07FC3}"/>
    <cellStyle name="Normal 9 2 2 3 2 8" xfId="9947" xr:uid="{652CCCFB-8734-4D78-A52E-20BFF59D7EFF}"/>
    <cellStyle name="Normal 9 2 2 3 2 9" xfId="9113" xr:uid="{DC48320E-E356-4E13-9B63-314A9EBDAEBA}"/>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21" xr:uid="{06C284C3-D1DE-4DD0-9E43-9BE7B67011DF}"/>
    <cellStyle name="Normal 9 2 2 3 3 2 3" xfId="12504" xr:uid="{137828F9-5AA1-459D-B88A-074BA87E6F53}"/>
    <cellStyle name="Normal 9 2 2 3 3 3" xfId="5294" xr:uid="{00000000-0005-0000-0000-0000D61E0000}"/>
    <cellStyle name="Normal 9 2 2 3 3 3 2" xfId="14576" xr:uid="{CBB99E51-AA21-4C9C-A27B-8ECA65388DCD}"/>
    <cellStyle name="Normal 9 2 2 3 3 4" xfId="10359" xr:uid="{2D0A1B46-120F-40F3-B79C-D71817612419}"/>
    <cellStyle name="Normal 9 2 2 3 3 5" xfId="9531" xr:uid="{78BAFA4B-3F78-4C51-80E7-28639096675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34" xr:uid="{AB16EC1C-E4DB-4919-A84C-66D110EF610A}"/>
    <cellStyle name="Normal 9 2 2 3 4 2 3" xfId="12917" xr:uid="{C43B970A-9AC2-4B5E-804D-C279DC172847}"/>
    <cellStyle name="Normal 9 2 2 3 4 3" xfId="5707" xr:uid="{00000000-0005-0000-0000-0000DA1E0000}"/>
    <cellStyle name="Normal 9 2 2 3 4 3 2" xfId="14989" xr:uid="{DC7BD86B-BB60-45F5-BD4E-B7E98309C790}"/>
    <cellStyle name="Normal 9 2 2 3 4 4" xfId="10772" xr:uid="{C987A1DB-2A88-4736-B478-E06F4A655F1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47" xr:uid="{97947C3A-F625-452F-BE8A-895BFFBD3DC9}"/>
    <cellStyle name="Normal 9 2 2 3 5 2 3" xfId="13330" xr:uid="{1D74D4CC-0227-454D-BD70-E6E4FCE57CC8}"/>
    <cellStyle name="Normal 9 2 2 3 5 3" xfId="6120" xr:uid="{00000000-0005-0000-0000-0000DE1E0000}"/>
    <cellStyle name="Normal 9 2 2 3 5 3 2" xfId="15402" xr:uid="{BA93F566-0EA9-4F73-8473-04690944E2A8}"/>
    <cellStyle name="Normal 9 2 2 3 5 4" xfId="11185" xr:uid="{1853002E-CF22-4C59-97B0-96D94D9668E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960" xr:uid="{9C10788A-F03D-4AD9-B689-67F387BEF843}"/>
    <cellStyle name="Normal 9 2 2 3 6 2 3" xfId="13743" xr:uid="{1E969EDB-5667-46A2-9E93-43EF065B36A0}"/>
    <cellStyle name="Normal 9 2 2 3 6 3" xfId="6533" xr:uid="{00000000-0005-0000-0000-0000E21E0000}"/>
    <cellStyle name="Normal 9 2 2 3 6 3 2" xfId="15815" xr:uid="{BECD7798-32FD-4433-9586-548470BBBBAF}"/>
    <cellStyle name="Normal 9 2 2 3 6 4" xfId="11598" xr:uid="{596F35DA-30C7-4E84-8D86-D04B57494764}"/>
    <cellStyle name="Normal 9 2 2 3 7" xfId="2663" xr:uid="{00000000-0005-0000-0000-0000E31E0000}"/>
    <cellStyle name="Normal 9 2 2 3 7 2" xfId="6946" xr:uid="{00000000-0005-0000-0000-0000E41E0000}"/>
    <cellStyle name="Normal 9 2 2 3 7 2 2" xfId="16228" xr:uid="{417C1B89-AEBC-43C5-AA7A-7C85D7952BEB}"/>
    <cellStyle name="Normal 9 2 2 3 7 3" xfId="12011" xr:uid="{6E9D1AA3-489A-4883-B102-68915B95FEBC}"/>
    <cellStyle name="Normal 9 2 2 3 8" xfId="4881" xr:uid="{00000000-0005-0000-0000-0000E51E0000}"/>
    <cellStyle name="Normal 9 2 2 3 8 2" xfId="14163" xr:uid="{A4CEA98E-D2C6-463B-B986-D72B73861745}"/>
    <cellStyle name="Normal 9 2 2 3 9" xfId="9946" xr:uid="{73EC4E8F-7742-42E1-B7E1-B86C8DE275D4}"/>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23" xr:uid="{7977CBE7-26E8-4F4F-9373-04BDBD4D52C7}"/>
    <cellStyle name="Normal 9 2 2 4 2 2 3" xfId="12506" xr:uid="{CCAD13DC-B8D2-43E5-8B34-13AB0E055BB4}"/>
    <cellStyle name="Normal 9 2 2 4 2 3" xfId="5296" xr:uid="{00000000-0005-0000-0000-0000EA1E0000}"/>
    <cellStyle name="Normal 9 2 2 4 2 3 2" xfId="14578" xr:uid="{B1881118-7D4E-4E11-9DD1-94C3A0D8794B}"/>
    <cellStyle name="Normal 9 2 2 4 2 4" xfId="10361" xr:uid="{82153569-6BEF-4CAE-86EF-0FD807FD88B4}"/>
    <cellStyle name="Normal 9 2 2 4 2 5" xfId="9533" xr:uid="{2E7B12CA-5DFA-402A-86E7-A566750BBD5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36" xr:uid="{08829A1A-BDC5-4832-B5D0-90C3D87FA075}"/>
    <cellStyle name="Normal 9 2 2 4 3 2 3" xfId="12919" xr:uid="{C898342F-61AD-4D6E-83E7-94B4D835DC5B}"/>
    <cellStyle name="Normal 9 2 2 4 3 3" xfId="5709" xr:uid="{00000000-0005-0000-0000-0000EE1E0000}"/>
    <cellStyle name="Normal 9 2 2 4 3 3 2" xfId="14991" xr:uid="{C270EF6B-156F-476D-9570-1C86BD68A4BF}"/>
    <cellStyle name="Normal 9 2 2 4 3 4" xfId="10774" xr:uid="{E7D9FE29-DCB8-4188-A3EE-6BFB1853CCE9}"/>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49" xr:uid="{9D64952C-4603-450B-9662-13F7C11DCD13}"/>
    <cellStyle name="Normal 9 2 2 4 4 2 3" xfId="13332" xr:uid="{892949B7-56CA-4103-AC9F-3249010710B5}"/>
    <cellStyle name="Normal 9 2 2 4 4 3" xfId="6122" xr:uid="{00000000-0005-0000-0000-0000F21E0000}"/>
    <cellStyle name="Normal 9 2 2 4 4 3 2" xfId="15404" xr:uid="{310C96F5-3106-4137-89B8-C2324F01A14F}"/>
    <cellStyle name="Normal 9 2 2 4 4 4" xfId="11187" xr:uid="{5641A6F8-B7D9-422A-BA65-180BFF72493B}"/>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962" xr:uid="{12719407-AC64-48DA-B421-C4D64116C808}"/>
    <cellStyle name="Normal 9 2 2 4 5 2 3" xfId="13745" xr:uid="{4B222D5A-058C-4A61-A81B-57909828D58E}"/>
    <cellStyle name="Normal 9 2 2 4 5 3" xfId="6535" xr:uid="{00000000-0005-0000-0000-0000F61E0000}"/>
    <cellStyle name="Normal 9 2 2 4 5 3 2" xfId="15817" xr:uid="{04508B1E-A016-4CD8-A232-3D67A57D68D3}"/>
    <cellStyle name="Normal 9 2 2 4 5 4" xfId="11600" xr:uid="{7F56F093-BDDA-4094-97B2-30B1E87CECC1}"/>
    <cellStyle name="Normal 9 2 2 4 6" xfId="2665" xr:uid="{00000000-0005-0000-0000-0000F71E0000}"/>
    <cellStyle name="Normal 9 2 2 4 6 2" xfId="6948" xr:uid="{00000000-0005-0000-0000-0000F81E0000}"/>
    <cellStyle name="Normal 9 2 2 4 6 2 2" xfId="16230" xr:uid="{13941DA7-0779-488D-B8FE-36792912920E}"/>
    <cellStyle name="Normal 9 2 2 4 6 3" xfId="12013" xr:uid="{121989EB-919F-4691-8690-074FA2AEDABD}"/>
    <cellStyle name="Normal 9 2 2 4 7" xfId="4883" xr:uid="{00000000-0005-0000-0000-0000F91E0000}"/>
    <cellStyle name="Normal 9 2 2 4 7 2" xfId="14165" xr:uid="{25529B0C-BCE4-4672-907D-1F0EE3CE6148}"/>
    <cellStyle name="Normal 9 2 2 4 8" xfId="9948" xr:uid="{8DEBA289-3616-448A-8E00-C03F17D69D24}"/>
    <cellStyle name="Normal 9 2 2 4 9" xfId="9114" xr:uid="{E2A14E01-3766-43C1-98F9-9CF8FF7F3B0A}"/>
    <cellStyle name="Normal 9 2 2 5" xfId="979" xr:uid="{00000000-0005-0000-0000-0000FA1E0000}"/>
    <cellStyle name="Normal 9 2 2 5 2" xfId="3212" xr:uid="{00000000-0005-0000-0000-0000FB1E0000}"/>
    <cellStyle name="Normal 9 2 2 5 2 2" xfId="7434" xr:uid="{00000000-0005-0000-0000-0000FC1E0000}"/>
    <cellStyle name="Normal 9 2 2 5 2 2 2" xfId="16716" xr:uid="{D7757B62-4B18-4D0B-A665-E3C45C0212AC}"/>
    <cellStyle name="Normal 9 2 2 5 2 3" xfId="12499" xr:uid="{1025881C-BFCC-47E6-A0BD-0BD176742327}"/>
    <cellStyle name="Normal 9 2 2 5 3" xfId="5289" xr:uid="{00000000-0005-0000-0000-0000FD1E0000}"/>
    <cellStyle name="Normal 9 2 2 5 3 2" xfId="14571" xr:uid="{F848C0B5-4466-40C5-A2DE-2C884E802539}"/>
    <cellStyle name="Normal 9 2 2 5 4" xfId="10354" xr:uid="{CCB08D8B-E39D-4C26-AC4E-2F344976B897}"/>
    <cellStyle name="Normal 9 2 2 5 5" xfId="9526" xr:uid="{81AFC091-78BB-4EF8-92F3-6A98AFA82449}"/>
    <cellStyle name="Normal 9 2 2 6" xfId="1395" xr:uid="{00000000-0005-0000-0000-0000FE1E0000}"/>
    <cellStyle name="Normal 9 2 2 6 2" xfId="3625" xr:uid="{00000000-0005-0000-0000-0000FF1E0000}"/>
    <cellStyle name="Normal 9 2 2 6 2 2" xfId="7847" xr:uid="{00000000-0005-0000-0000-0000001F0000}"/>
    <cellStyle name="Normal 9 2 2 6 2 2 2" xfId="17129" xr:uid="{9AD1479B-79F7-41C0-9F4E-FA6CC0B4BDFA}"/>
    <cellStyle name="Normal 9 2 2 6 2 3" xfId="12912" xr:uid="{EB3CC82B-2739-4965-A157-150C43736253}"/>
    <cellStyle name="Normal 9 2 2 6 3" xfId="5702" xr:uid="{00000000-0005-0000-0000-0000011F0000}"/>
    <cellStyle name="Normal 9 2 2 6 3 2" xfId="14984" xr:uid="{3A9E2C25-0F21-40EC-9D59-EEB9C4208D41}"/>
    <cellStyle name="Normal 9 2 2 6 4" xfId="10767" xr:uid="{831BDB36-36DE-4667-B0C5-D22B7D5CAEE8}"/>
    <cellStyle name="Normal 9 2 2 7" xfId="1808" xr:uid="{00000000-0005-0000-0000-0000021F0000}"/>
    <cellStyle name="Normal 9 2 2 7 2" xfId="4038" xr:uid="{00000000-0005-0000-0000-0000031F0000}"/>
    <cellStyle name="Normal 9 2 2 7 2 2" xfId="8260" xr:uid="{00000000-0005-0000-0000-0000041F0000}"/>
    <cellStyle name="Normal 9 2 2 7 2 2 2" xfId="17542" xr:uid="{2DF363E3-558C-4B53-BB60-8BBA720F921B}"/>
    <cellStyle name="Normal 9 2 2 7 2 3" xfId="13325" xr:uid="{68C95553-14A4-461E-A185-73AD99A6E61F}"/>
    <cellStyle name="Normal 9 2 2 7 3" xfId="6115" xr:uid="{00000000-0005-0000-0000-0000051F0000}"/>
    <cellStyle name="Normal 9 2 2 7 3 2" xfId="15397" xr:uid="{B171E28D-9989-4A73-AEDF-BC19C5AC29E2}"/>
    <cellStyle name="Normal 9 2 2 7 4" xfId="11180" xr:uid="{B7211743-B502-4F26-94AE-C5D040E64163}"/>
    <cellStyle name="Normal 9 2 2 8" xfId="2222" xr:uid="{00000000-0005-0000-0000-0000061F0000}"/>
    <cellStyle name="Normal 9 2 2 8 2" xfId="4451" xr:uid="{00000000-0005-0000-0000-0000071F0000}"/>
    <cellStyle name="Normal 9 2 2 8 2 2" xfId="8673" xr:uid="{00000000-0005-0000-0000-0000081F0000}"/>
    <cellStyle name="Normal 9 2 2 8 2 2 2" xfId="17955" xr:uid="{42F67383-67CC-4471-928B-074A84264C09}"/>
    <cellStyle name="Normal 9 2 2 8 2 3" xfId="13738" xr:uid="{63334804-0332-4433-9414-2A4B794CEC15}"/>
    <cellStyle name="Normal 9 2 2 8 3" xfId="6528" xr:uid="{00000000-0005-0000-0000-0000091F0000}"/>
    <cellStyle name="Normal 9 2 2 8 3 2" xfId="15810" xr:uid="{D6D881CB-C6C5-4A10-9DC3-74AE04D89506}"/>
    <cellStyle name="Normal 9 2 2 8 4" xfId="11593" xr:uid="{64B40581-CD53-4CD7-9A3A-721092CB4C75}"/>
    <cellStyle name="Normal 9 2 2 9" xfId="2658" xr:uid="{00000000-0005-0000-0000-00000A1F0000}"/>
    <cellStyle name="Normal 9 2 2 9 2" xfId="6941" xr:uid="{00000000-0005-0000-0000-00000B1F0000}"/>
    <cellStyle name="Normal 9 2 2 9 2 2" xfId="16223" xr:uid="{7911B5EF-2FCE-4C54-B4EF-A5A2E8DB178F}"/>
    <cellStyle name="Normal 9 2 2 9 3" xfId="12006" xr:uid="{4C5A1721-2D55-47AF-BAD5-3F1EF1BC689A}"/>
    <cellStyle name="Normal 9 2 3" xfId="520" xr:uid="{00000000-0005-0000-0000-00000C1F0000}"/>
    <cellStyle name="Normal 9 2 3 10" xfId="9949" xr:uid="{C167A14D-E6F8-4701-8DB1-9549A31EFAE6}"/>
    <cellStyle name="Normal 9 2 3 11" xfId="9115" xr:uid="{AF8AF114-36EC-4AF0-86BE-71619B8D10A9}"/>
    <cellStyle name="Normal 9 2 3 2" xfId="521" xr:uid="{00000000-0005-0000-0000-00000D1F0000}"/>
    <cellStyle name="Normal 9 2 3 2 10" xfId="9116" xr:uid="{1E3FA275-94DF-4AD2-BA44-1618B932EB5D}"/>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26" xr:uid="{A4F3F332-AA90-4562-9993-0C4444425C5D}"/>
    <cellStyle name="Normal 9 2 3 2 2 2 2 3" xfId="12509" xr:uid="{069B5D54-716A-4D54-9010-90C78AB6DB2F}"/>
    <cellStyle name="Normal 9 2 3 2 2 2 3" xfId="5299" xr:uid="{00000000-0005-0000-0000-0000121F0000}"/>
    <cellStyle name="Normal 9 2 3 2 2 2 3 2" xfId="14581" xr:uid="{3EBC3C4A-9E02-4576-8B7C-958077597366}"/>
    <cellStyle name="Normal 9 2 3 2 2 2 4" xfId="10364" xr:uid="{0343D123-0EB1-4C06-9FDD-FDF4FBAC0647}"/>
    <cellStyle name="Normal 9 2 3 2 2 2 5" xfId="9536" xr:uid="{12512FE9-5C86-47A5-BDB8-A106454915A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39" xr:uid="{3B785206-FEDA-416C-B241-770E3CB78538}"/>
    <cellStyle name="Normal 9 2 3 2 2 3 2 3" xfId="12922" xr:uid="{F63C03E2-A9EC-4084-A4CA-D35DE4DDA880}"/>
    <cellStyle name="Normal 9 2 3 2 2 3 3" xfId="5712" xr:uid="{00000000-0005-0000-0000-0000161F0000}"/>
    <cellStyle name="Normal 9 2 3 2 2 3 3 2" xfId="14994" xr:uid="{33F453E6-F7E6-4DA7-B24F-359F9A496036}"/>
    <cellStyle name="Normal 9 2 3 2 2 3 4" xfId="10777" xr:uid="{B3AAF6B6-7982-4256-A438-E3AB068D66A9}"/>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52" xr:uid="{DAEE75F5-869D-444B-8161-B7970C449BC9}"/>
    <cellStyle name="Normal 9 2 3 2 2 4 2 3" xfId="13335" xr:uid="{45EC0D03-6C12-4DE4-8E97-DFFD2058F8BB}"/>
    <cellStyle name="Normal 9 2 3 2 2 4 3" xfId="6125" xr:uid="{00000000-0005-0000-0000-00001A1F0000}"/>
    <cellStyle name="Normal 9 2 3 2 2 4 3 2" xfId="15407" xr:uid="{6461E113-6D0C-4E82-B658-2E2F298C8DA8}"/>
    <cellStyle name="Normal 9 2 3 2 2 4 4" xfId="11190" xr:uid="{6B405E33-2FC0-4574-BED2-3CC1D909DA76}"/>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965" xr:uid="{2FC64CDE-13FA-42E1-A044-87FBC944D756}"/>
    <cellStyle name="Normal 9 2 3 2 2 5 2 3" xfId="13748" xr:uid="{52F15611-B236-4703-A75D-0D960C48EA73}"/>
    <cellStyle name="Normal 9 2 3 2 2 5 3" xfId="6538" xr:uid="{00000000-0005-0000-0000-00001E1F0000}"/>
    <cellStyle name="Normal 9 2 3 2 2 5 3 2" xfId="15820" xr:uid="{A1749A14-ED13-4909-B95A-08D61305E43E}"/>
    <cellStyle name="Normal 9 2 3 2 2 5 4" xfId="11603" xr:uid="{49E5BCB9-511D-43BA-B1C3-AD5CC916600B}"/>
    <cellStyle name="Normal 9 2 3 2 2 6" xfId="2668" xr:uid="{00000000-0005-0000-0000-00001F1F0000}"/>
    <cellStyle name="Normal 9 2 3 2 2 6 2" xfId="6951" xr:uid="{00000000-0005-0000-0000-0000201F0000}"/>
    <cellStyle name="Normal 9 2 3 2 2 6 2 2" xfId="16233" xr:uid="{88556611-7F95-4ED5-A786-56C70A94F7D6}"/>
    <cellStyle name="Normal 9 2 3 2 2 6 3" xfId="12016" xr:uid="{51ADBBC2-975F-4FA4-B9E9-6D9F42BBEAF2}"/>
    <cellStyle name="Normal 9 2 3 2 2 7" xfId="4886" xr:uid="{00000000-0005-0000-0000-0000211F0000}"/>
    <cellStyle name="Normal 9 2 3 2 2 7 2" xfId="14168" xr:uid="{57F56F89-A488-451F-A4FD-2F49CD52DB21}"/>
    <cellStyle name="Normal 9 2 3 2 2 8" xfId="9951" xr:uid="{2F9D47D4-B9BA-4202-A5C7-BA5D1DC93747}"/>
    <cellStyle name="Normal 9 2 3 2 2 9" xfId="9117" xr:uid="{CDC93885-6D83-45A0-9768-86FF019380B9}"/>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25" xr:uid="{28414A7A-F5ED-40FC-B010-70B4AC6F9DF2}"/>
    <cellStyle name="Normal 9 2 3 2 3 2 3" xfId="12508" xr:uid="{3F50C9F4-8A2F-4906-B093-9801FEC02C04}"/>
    <cellStyle name="Normal 9 2 3 2 3 3" xfId="5298" xr:uid="{00000000-0005-0000-0000-0000251F0000}"/>
    <cellStyle name="Normal 9 2 3 2 3 3 2" xfId="14580" xr:uid="{E5821DE1-AA8F-4D05-BEF1-028DA7BD6409}"/>
    <cellStyle name="Normal 9 2 3 2 3 4" xfId="10363" xr:uid="{AD66EF95-CE62-4A38-8AB5-470E1FCD5981}"/>
    <cellStyle name="Normal 9 2 3 2 3 5" xfId="9535" xr:uid="{71438FF6-DAA9-45EB-9D06-84EA2A21672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38" xr:uid="{13BF2BC9-4872-4AF2-A06C-DFE14DAE7F60}"/>
    <cellStyle name="Normal 9 2 3 2 4 2 3" xfId="12921" xr:uid="{492A537B-F07F-474F-A344-61E04B871D33}"/>
    <cellStyle name="Normal 9 2 3 2 4 3" xfId="5711" xr:uid="{00000000-0005-0000-0000-0000291F0000}"/>
    <cellStyle name="Normal 9 2 3 2 4 3 2" xfId="14993" xr:uid="{5F04871F-0D8E-477F-B8D5-AAEF0B319C83}"/>
    <cellStyle name="Normal 9 2 3 2 4 4" xfId="10776" xr:uid="{0020AB61-DCDC-4F3C-84F3-F6D615AD7DD4}"/>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51" xr:uid="{5824DE7A-75B4-4D16-87F3-8B6079E48BE0}"/>
    <cellStyle name="Normal 9 2 3 2 5 2 3" xfId="13334" xr:uid="{689C5524-D330-4869-970B-8F5264B2E57C}"/>
    <cellStyle name="Normal 9 2 3 2 5 3" xfId="6124" xr:uid="{00000000-0005-0000-0000-00002D1F0000}"/>
    <cellStyle name="Normal 9 2 3 2 5 3 2" xfId="15406" xr:uid="{569D755E-BD1F-4BEB-8023-523605C75B23}"/>
    <cellStyle name="Normal 9 2 3 2 5 4" xfId="11189" xr:uid="{311CD005-D7F9-41C8-ADB1-930C525C9F43}"/>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964" xr:uid="{A52D617F-DA13-4522-9660-261D8B94AB4F}"/>
    <cellStyle name="Normal 9 2 3 2 6 2 3" xfId="13747" xr:uid="{0396F4CE-A23B-4BD9-AA18-C0D01866D3EE}"/>
    <cellStyle name="Normal 9 2 3 2 6 3" xfId="6537" xr:uid="{00000000-0005-0000-0000-0000311F0000}"/>
    <cellStyle name="Normal 9 2 3 2 6 3 2" xfId="15819" xr:uid="{2EEBBF21-168E-49DD-A626-964C0038D76E}"/>
    <cellStyle name="Normal 9 2 3 2 6 4" xfId="11602" xr:uid="{03B9BBC7-85B2-4231-AF69-5F67E9A32DDB}"/>
    <cellStyle name="Normal 9 2 3 2 7" xfId="2667" xr:uid="{00000000-0005-0000-0000-0000321F0000}"/>
    <cellStyle name="Normal 9 2 3 2 7 2" xfId="6950" xr:uid="{00000000-0005-0000-0000-0000331F0000}"/>
    <cellStyle name="Normal 9 2 3 2 7 2 2" xfId="16232" xr:uid="{AB2D908B-C3CE-4049-97A0-D0CD603C9C96}"/>
    <cellStyle name="Normal 9 2 3 2 7 3" xfId="12015" xr:uid="{ADC6C607-823B-456E-B751-A9B55F09BB78}"/>
    <cellStyle name="Normal 9 2 3 2 8" xfId="4885" xr:uid="{00000000-0005-0000-0000-0000341F0000}"/>
    <cellStyle name="Normal 9 2 3 2 8 2" xfId="14167" xr:uid="{377B19F8-2923-4045-AA6C-0FFB2E77C32E}"/>
    <cellStyle name="Normal 9 2 3 2 9" xfId="9950" xr:uid="{160D475A-1F29-46E5-9CDF-88D877D3ACF7}"/>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27" xr:uid="{98F00606-DC08-4E96-AC19-FC791F62CE3B}"/>
    <cellStyle name="Normal 9 2 3 3 2 2 3" xfId="12510" xr:uid="{AEBAB94E-EB79-4EAE-B1F8-F3780C601206}"/>
    <cellStyle name="Normal 9 2 3 3 2 3" xfId="5300" xr:uid="{00000000-0005-0000-0000-0000391F0000}"/>
    <cellStyle name="Normal 9 2 3 3 2 3 2" xfId="14582" xr:uid="{591F8B1F-87DC-43B8-83C3-F72EA83ADF66}"/>
    <cellStyle name="Normal 9 2 3 3 2 4" xfId="10365" xr:uid="{1E238EE8-AB1C-473B-8E2F-9E0885266D58}"/>
    <cellStyle name="Normal 9 2 3 3 2 5" xfId="9537" xr:uid="{13825AFB-F302-46C5-A6AA-E211E461D136}"/>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40" xr:uid="{8A68B198-223E-4DFA-8252-A882875F8B4F}"/>
    <cellStyle name="Normal 9 2 3 3 3 2 3" xfId="12923" xr:uid="{89FF683B-DD7A-43B6-A331-DFC18564346C}"/>
    <cellStyle name="Normal 9 2 3 3 3 3" xfId="5713" xr:uid="{00000000-0005-0000-0000-00003D1F0000}"/>
    <cellStyle name="Normal 9 2 3 3 3 3 2" xfId="14995" xr:uid="{5A60F770-3853-4FEF-8B55-7A6504381FAF}"/>
    <cellStyle name="Normal 9 2 3 3 3 4" xfId="10778" xr:uid="{07716503-F1CF-40A7-9A76-2E37552922D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53" xr:uid="{A7BFAB9C-5694-420E-B256-4134BAB67CC7}"/>
    <cellStyle name="Normal 9 2 3 3 4 2 3" xfId="13336" xr:uid="{082132D7-665B-4EC3-9949-7AC90BB3CE18}"/>
    <cellStyle name="Normal 9 2 3 3 4 3" xfId="6126" xr:uid="{00000000-0005-0000-0000-0000411F0000}"/>
    <cellStyle name="Normal 9 2 3 3 4 3 2" xfId="15408" xr:uid="{FD6359D0-BDAE-4416-A395-19984DEECD6E}"/>
    <cellStyle name="Normal 9 2 3 3 4 4" xfId="11191" xr:uid="{51295BE8-B8A2-454E-B667-481D38C7655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966" xr:uid="{6EB48ABC-FDAB-4D02-9209-71C8D01F0EA4}"/>
    <cellStyle name="Normal 9 2 3 3 5 2 3" xfId="13749" xr:uid="{F2558A42-E2AD-4831-AB9F-41D646E43C6B}"/>
    <cellStyle name="Normal 9 2 3 3 5 3" xfId="6539" xr:uid="{00000000-0005-0000-0000-0000451F0000}"/>
    <cellStyle name="Normal 9 2 3 3 5 3 2" xfId="15821" xr:uid="{BB0A2521-CF07-4D40-BBAC-8637A7392E67}"/>
    <cellStyle name="Normal 9 2 3 3 5 4" xfId="11604" xr:uid="{A37E7634-11C5-4F3E-A0DB-42F1401E06D7}"/>
    <cellStyle name="Normal 9 2 3 3 6" xfId="2669" xr:uid="{00000000-0005-0000-0000-0000461F0000}"/>
    <cellStyle name="Normal 9 2 3 3 6 2" xfId="6952" xr:uid="{00000000-0005-0000-0000-0000471F0000}"/>
    <cellStyle name="Normal 9 2 3 3 6 2 2" xfId="16234" xr:uid="{F89241EE-84B2-407A-AC9B-C2204858AB9B}"/>
    <cellStyle name="Normal 9 2 3 3 6 3" xfId="12017" xr:uid="{9A0169A7-CFF2-4ECD-8370-B7575E36E209}"/>
    <cellStyle name="Normal 9 2 3 3 7" xfId="4887" xr:uid="{00000000-0005-0000-0000-0000481F0000}"/>
    <cellStyle name="Normal 9 2 3 3 7 2" xfId="14169" xr:uid="{7BD2A36F-1706-4C4F-AB23-BA489BAF8992}"/>
    <cellStyle name="Normal 9 2 3 3 8" xfId="9952" xr:uid="{7C40A5A8-A458-44A8-8E03-C270FF4F7DDD}"/>
    <cellStyle name="Normal 9 2 3 3 9" xfId="9118" xr:uid="{D6404806-E055-4C55-A13B-2B14FF9D2314}"/>
    <cellStyle name="Normal 9 2 3 4" xfId="987" xr:uid="{00000000-0005-0000-0000-0000491F0000}"/>
    <cellStyle name="Normal 9 2 3 4 2" xfId="3220" xr:uid="{00000000-0005-0000-0000-00004A1F0000}"/>
    <cellStyle name="Normal 9 2 3 4 2 2" xfId="7442" xr:uid="{00000000-0005-0000-0000-00004B1F0000}"/>
    <cellStyle name="Normal 9 2 3 4 2 2 2" xfId="16724" xr:uid="{9532B766-5EDC-46C4-AA15-2D0FEAC49B2B}"/>
    <cellStyle name="Normal 9 2 3 4 2 3" xfId="12507" xr:uid="{2416EE87-955E-48D5-A619-992C63D09385}"/>
    <cellStyle name="Normal 9 2 3 4 3" xfId="5297" xr:uid="{00000000-0005-0000-0000-00004C1F0000}"/>
    <cellStyle name="Normal 9 2 3 4 3 2" xfId="14579" xr:uid="{01D9F8A6-5BD6-4D03-9FAC-4B190960B6B5}"/>
    <cellStyle name="Normal 9 2 3 4 4" xfId="10362" xr:uid="{082C9513-C0EF-4564-B797-3ADDB184C715}"/>
    <cellStyle name="Normal 9 2 3 4 5" xfId="9534" xr:uid="{FAADAC91-A705-494A-8517-B6628F7BFA68}"/>
    <cellStyle name="Normal 9 2 3 5" xfId="1403" xr:uid="{00000000-0005-0000-0000-00004D1F0000}"/>
    <cellStyle name="Normal 9 2 3 5 2" xfId="3633" xr:uid="{00000000-0005-0000-0000-00004E1F0000}"/>
    <cellStyle name="Normal 9 2 3 5 2 2" xfId="7855" xr:uid="{00000000-0005-0000-0000-00004F1F0000}"/>
    <cellStyle name="Normal 9 2 3 5 2 2 2" xfId="17137" xr:uid="{33633C03-2406-4AC8-93EB-492547D8DCFA}"/>
    <cellStyle name="Normal 9 2 3 5 2 3" xfId="12920" xr:uid="{66F0B7E0-C47A-427A-B640-ECF52A01A297}"/>
    <cellStyle name="Normal 9 2 3 5 3" xfId="5710" xr:uid="{00000000-0005-0000-0000-0000501F0000}"/>
    <cellStyle name="Normal 9 2 3 5 3 2" xfId="14992" xr:uid="{069C5D3D-092D-4E93-BA41-B60B6CD56B39}"/>
    <cellStyle name="Normal 9 2 3 5 4" xfId="10775" xr:uid="{DF73801C-CD0C-4ACE-9E06-DECA3A071DFB}"/>
    <cellStyle name="Normal 9 2 3 6" xfId="1816" xr:uid="{00000000-0005-0000-0000-0000511F0000}"/>
    <cellStyle name="Normal 9 2 3 6 2" xfId="4046" xr:uid="{00000000-0005-0000-0000-0000521F0000}"/>
    <cellStyle name="Normal 9 2 3 6 2 2" xfId="8268" xr:uid="{00000000-0005-0000-0000-0000531F0000}"/>
    <cellStyle name="Normal 9 2 3 6 2 2 2" xfId="17550" xr:uid="{427134B4-BF73-493E-A390-90197F336694}"/>
    <cellStyle name="Normal 9 2 3 6 2 3" xfId="13333" xr:uid="{A881FF14-0EEA-41ED-8B3E-5F0C556EA5DB}"/>
    <cellStyle name="Normal 9 2 3 6 3" xfId="6123" xr:uid="{00000000-0005-0000-0000-0000541F0000}"/>
    <cellStyle name="Normal 9 2 3 6 3 2" xfId="15405" xr:uid="{E98BE6D6-1A3C-42BD-B268-F6EBCDB5B0B6}"/>
    <cellStyle name="Normal 9 2 3 6 4" xfId="11188" xr:uid="{8E561A69-7F8F-4810-9FD4-369997F7E62C}"/>
    <cellStyle name="Normal 9 2 3 7" xfId="2230" xr:uid="{00000000-0005-0000-0000-0000551F0000}"/>
    <cellStyle name="Normal 9 2 3 7 2" xfId="4459" xr:uid="{00000000-0005-0000-0000-0000561F0000}"/>
    <cellStyle name="Normal 9 2 3 7 2 2" xfId="8681" xr:uid="{00000000-0005-0000-0000-0000571F0000}"/>
    <cellStyle name="Normal 9 2 3 7 2 2 2" xfId="17963" xr:uid="{3D780835-1984-4CAC-87F0-8CFE10716058}"/>
    <cellStyle name="Normal 9 2 3 7 2 3" xfId="13746" xr:uid="{DAF91837-E044-4C6C-B070-D81E2520D59C}"/>
    <cellStyle name="Normal 9 2 3 7 3" xfId="6536" xr:uid="{00000000-0005-0000-0000-0000581F0000}"/>
    <cellStyle name="Normal 9 2 3 7 3 2" xfId="15818" xr:uid="{B14B978C-A140-483A-8DD1-24851D202C8C}"/>
    <cellStyle name="Normal 9 2 3 7 4" xfId="11601" xr:uid="{140AB223-8F27-4AE7-89B4-8AF23E62CB43}"/>
    <cellStyle name="Normal 9 2 3 8" xfId="2666" xr:uid="{00000000-0005-0000-0000-0000591F0000}"/>
    <cellStyle name="Normal 9 2 3 8 2" xfId="6949" xr:uid="{00000000-0005-0000-0000-00005A1F0000}"/>
    <cellStyle name="Normal 9 2 3 8 2 2" xfId="16231" xr:uid="{09C2FFBD-767A-4EBF-84C0-A99717753AF6}"/>
    <cellStyle name="Normal 9 2 3 8 3" xfId="12014" xr:uid="{095C0612-0289-4F15-A156-054D2DDBAA12}"/>
    <cellStyle name="Normal 9 2 3 9" xfId="4884" xr:uid="{00000000-0005-0000-0000-00005B1F0000}"/>
    <cellStyle name="Normal 9 2 3 9 2" xfId="14166" xr:uid="{E2B8852F-7462-46CD-95F5-6E48D877F56C}"/>
    <cellStyle name="Normal 9 2 4" xfId="524" xr:uid="{00000000-0005-0000-0000-00005C1F0000}"/>
    <cellStyle name="Normal 9 2 4 10" xfId="9119" xr:uid="{30E38992-87E7-4581-8D47-692A43192081}"/>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29" xr:uid="{22915186-4207-4062-9234-2295D069DC68}"/>
    <cellStyle name="Normal 9 2 4 2 2 2 3" xfId="12512" xr:uid="{63AEDD9B-0CCA-4F99-BE8E-1F33A30FA3AF}"/>
    <cellStyle name="Normal 9 2 4 2 2 3" xfId="5302" xr:uid="{00000000-0005-0000-0000-0000611F0000}"/>
    <cellStyle name="Normal 9 2 4 2 2 3 2" xfId="14584" xr:uid="{42986D85-97B0-4B76-B8EA-481A333F761A}"/>
    <cellStyle name="Normal 9 2 4 2 2 4" xfId="10367" xr:uid="{41ADAAF4-F225-4E72-A8D0-CCEB41FCD8FD}"/>
    <cellStyle name="Normal 9 2 4 2 2 5" xfId="9539" xr:uid="{8EC3E2B8-224A-4F77-A27C-D7F9F6A39753}"/>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42" xr:uid="{6B505207-25B4-4CAB-B1D3-E491CB0A8183}"/>
    <cellStyle name="Normal 9 2 4 2 3 2 3" xfId="12925" xr:uid="{E32FFE9F-CE9C-4A2A-A489-4E8F92EB2835}"/>
    <cellStyle name="Normal 9 2 4 2 3 3" xfId="5715" xr:uid="{00000000-0005-0000-0000-0000651F0000}"/>
    <cellStyle name="Normal 9 2 4 2 3 3 2" xfId="14997" xr:uid="{E9F6F184-65B0-42F9-B39E-9A653EDB64B4}"/>
    <cellStyle name="Normal 9 2 4 2 3 4" xfId="10780" xr:uid="{F04C1F92-4D77-4014-A28A-212FB673C2D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55" xr:uid="{138354BF-C2C4-41F6-9569-AE4164BAE827}"/>
    <cellStyle name="Normal 9 2 4 2 4 2 3" xfId="13338" xr:uid="{BF149689-02A4-438D-8795-29C0C6C0955A}"/>
    <cellStyle name="Normal 9 2 4 2 4 3" xfId="6128" xr:uid="{00000000-0005-0000-0000-0000691F0000}"/>
    <cellStyle name="Normal 9 2 4 2 4 3 2" xfId="15410" xr:uid="{2E65039C-2B75-4F68-BD8A-3C01ECC18378}"/>
    <cellStyle name="Normal 9 2 4 2 4 4" xfId="11193" xr:uid="{96EFFB7F-ABF9-4340-9F29-AEF26AEC830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968" xr:uid="{E8B75A50-A042-479A-8551-9C8AB226575F}"/>
    <cellStyle name="Normal 9 2 4 2 5 2 3" xfId="13751" xr:uid="{3053568C-AA42-4501-956D-2CCAF86911C0}"/>
    <cellStyle name="Normal 9 2 4 2 5 3" xfId="6541" xr:uid="{00000000-0005-0000-0000-00006D1F0000}"/>
    <cellStyle name="Normal 9 2 4 2 5 3 2" xfId="15823" xr:uid="{B6514564-F2E6-40C4-85BB-45AB2D28E799}"/>
    <cellStyle name="Normal 9 2 4 2 5 4" xfId="11606" xr:uid="{0A3E3FB4-72ED-42C8-AA97-271F3F007913}"/>
    <cellStyle name="Normal 9 2 4 2 6" xfId="2671" xr:uid="{00000000-0005-0000-0000-00006E1F0000}"/>
    <cellStyle name="Normal 9 2 4 2 6 2" xfId="6954" xr:uid="{00000000-0005-0000-0000-00006F1F0000}"/>
    <cellStyle name="Normal 9 2 4 2 6 2 2" xfId="16236" xr:uid="{52C01457-39B1-4F55-A2F5-BA925FEFF235}"/>
    <cellStyle name="Normal 9 2 4 2 6 3" xfId="12019" xr:uid="{68CB7A28-CB2C-47FC-B659-79A3A910BC21}"/>
    <cellStyle name="Normal 9 2 4 2 7" xfId="4889" xr:uid="{00000000-0005-0000-0000-0000701F0000}"/>
    <cellStyle name="Normal 9 2 4 2 7 2" xfId="14171" xr:uid="{CC9C5AD9-DE83-4AB4-A3DC-C860DC5E9A43}"/>
    <cellStyle name="Normal 9 2 4 2 8" xfId="9954" xr:uid="{82FEE1DC-934F-4442-B23F-C1E903E4DF51}"/>
    <cellStyle name="Normal 9 2 4 2 9" xfId="9120" xr:uid="{C8F43642-FF2C-4C9C-AAF1-76EDCF6CD12B}"/>
    <cellStyle name="Normal 9 2 4 3" xfId="991" xr:uid="{00000000-0005-0000-0000-0000711F0000}"/>
    <cellStyle name="Normal 9 2 4 3 2" xfId="3224" xr:uid="{00000000-0005-0000-0000-0000721F0000}"/>
    <cellStyle name="Normal 9 2 4 3 2 2" xfId="7446" xr:uid="{00000000-0005-0000-0000-0000731F0000}"/>
    <cellStyle name="Normal 9 2 4 3 2 2 2" xfId="16728" xr:uid="{6C852852-124F-4F13-9188-7CEF61C2BC0E}"/>
    <cellStyle name="Normal 9 2 4 3 2 3" xfId="12511" xr:uid="{221AD219-70CD-4172-8988-9F863FA135E0}"/>
    <cellStyle name="Normal 9 2 4 3 3" xfId="5301" xr:uid="{00000000-0005-0000-0000-0000741F0000}"/>
    <cellStyle name="Normal 9 2 4 3 3 2" xfId="14583" xr:uid="{6ACEBBEE-5EC0-4F01-99B3-95AFFF4AC928}"/>
    <cellStyle name="Normal 9 2 4 3 4" xfId="10366" xr:uid="{D9015003-B50D-4920-8A1C-C0BF1D71B207}"/>
    <cellStyle name="Normal 9 2 4 3 5" xfId="9538" xr:uid="{345180B5-F293-45C1-8985-02063AD48CA3}"/>
    <cellStyle name="Normal 9 2 4 4" xfId="1407" xr:uid="{00000000-0005-0000-0000-0000751F0000}"/>
    <cellStyle name="Normal 9 2 4 4 2" xfId="3637" xr:uid="{00000000-0005-0000-0000-0000761F0000}"/>
    <cellStyle name="Normal 9 2 4 4 2 2" xfId="7859" xr:uid="{00000000-0005-0000-0000-0000771F0000}"/>
    <cellStyle name="Normal 9 2 4 4 2 2 2" xfId="17141" xr:uid="{826C8157-20EC-4748-A375-B6E3CEC97443}"/>
    <cellStyle name="Normal 9 2 4 4 2 3" xfId="12924" xr:uid="{CC4F6D3F-A2DF-4054-B294-2D068F01E2DC}"/>
    <cellStyle name="Normal 9 2 4 4 3" xfId="5714" xr:uid="{00000000-0005-0000-0000-0000781F0000}"/>
    <cellStyle name="Normal 9 2 4 4 3 2" xfId="14996" xr:uid="{9EC67FDC-CE1C-413E-86AB-A7BFFCD0542B}"/>
    <cellStyle name="Normal 9 2 4 4 4" xfId="10779" xr:uid="{00D6F13D-79F2-490C-B90F-4A7B2DBA75AE}"/>
    <cellStyle name="Normal 9 2 4 5" xfId="1820" xr:uid="{00000000-0005-0000-0000-0000791F0000}"/>
    <cellStyle name="Normal 9 2 4 5 2" xfId="4050" xr:uid="{00000000-0005-0000-0000-00007A1F0000}"/>
    <cellStyle name="Normal 9 2 4 5 2 2" xfId="8272" xr:uid="{00000000-0005-0000-0000-00007B1F0000}"/>
    <cellStyle name="Normal 9 2 4 5 2 2 2" xfId="17554" xr:uid="{C0ED9716-2644-42A7-8293-2919229E923E}"/>
    <cellStyle name="Normal 9 2 4 5 2 3" xfId="13337" xr:uid="{AF314385-CF48-4C2B-982C-79A0D17FB7C9}"/>
    <cellStyle name="Normal 9 2 4 5 3" xfId="6127" xr:uid="{00000000-0005-0000-0000-00007C1F0000}"/>
    <cellStyle name="Normal 9 2 4 5 3 2" xfId="15409" xr:uid="{31644EE8-05C7-4F9C-BC70-4ECF9E3D76DC}"/>
    <cellStyle name="Normal 9 2 4 5 4" xfId="11192" xr:uid="{4BEC9FB8-C17B-4F40-866F-EB0FD079BE4F}"/>
    <cellStyle name="Normal 9 2 4 6" xfId="2234" xr:uid="{00000000-0005-0000-0000-00007D1F0000}"/>
    <cellStyle name="Normal 9 2 4 6 2" xfId="4463" xr:uid="{00000000-0005-0000-0000-00007E1F0000}"/>
    <cellStyle name="Normal 9 2 4 6 2 2" xfId="8685" xr:uid="{00000000-0005-0000-0000-00007F1F0000}"/>
    <cellStyle name="Normal 9 2 4 6 2 2 2" xfId="17967" xr:uid="{EEC51688-3A74-49E2-99E1-EC17FF35E4B0}"/>
    <cellStyle name="Normal 9 2 4 6 2 3" xfId="13750" xr:uid="{3C6C6898-B7C4-427B-8BC9-A9A2207B5A25}"/>
    <cellStyle name="Normal 9 2 4 6 3" xfId="6540" xr:uid="{00000000-0005-0000-0000-0000801F0000}"/>
    <cellStyle name="Normal 9 2 4 6 3 2" xfId="15822" xr:uid="{6FD37740-DC55-4AA4-B921-49ABEC81053C}"/>
    <cellStyle name="Normal 9 2 4 6 4" xfId="11605" xr:uid="{C3F87850-4846-4397-B15E-75B8311DC476}"/>
    <cellStyle name="Normal 9 2 4 7" xfId="2670" xr:uid="{00000000-0005-0000-0000-0000811F0000}"/>
    <cellStyle name="Normal 9 2 4 7 2" xfId="6953" xr:uid="{00000000-0005-0000-0000-0000821F0000}"/>
    <cellStyle name="Normal 9 2 4 7 2 2" xfId="16235" xr:uid="{C21C5896-FCA3-496E-8D7A-32C8C0B25881}"/>
    <cellStyle name="Normal 9 2 4 7 3" xfId="12018" xr:uid="{C2A7F75C-8CB4-4F52-81E6-6B349ECE8652}"/>
    <cellStyle name="Normal 9 2 4 8" xfId="4888" xr:uid="{00000000-0005-0000-0000-0000831F0000}"/>
    <cellStyle name="Normal 9 2 4 8 2" xfId="14170" xr:uid="{5454D001-277E-4A6D-947B-715A207E9966}"/>
    <cellStyle name="Normal 9 2 4 9" xfId="9953" xr:uid="{CE87CBD6-0EFF-40D7-80AD-30B425B8489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30" xr:uid="{5A04D965-85E0-4983-8BCB-94A0C3865E79}"/>
    <cellStyle name="Normal 9 2 5 2 2 3" xfId="12513" xr:uid="{EE38ABC6-58D8-4960-829A-597CBEC3D87F}"/>
    <cellStyle name="Normal 9 2 5 2 3" xfId="5303" xr:uid="{00000000-0005-0000-0000-0000881F0000}"/>
    <cellStyle name="Normal 9 2 5 2 3 2" xfId="14585" xr:uid="{254C93F7-A2CA-44EE-88E2-14D7BA336C17}"/>
    <cellStyle name="Normal 9 2 5 2 4" xfId="10368" xr:uid="{F522208D-9064-4046-9CED-633AD52677DB}"/>
    <cellStyle name="Normal 9 2 5 2 5" xfId="9540" xr:uid="{AE5A75EF-4A86-46BB-B3FD-56626BA70DA8}"/>
    <cellStyle name="Normal 9 2 5 3" xfId="1409" xr:uid="{00000000-0005-0000-0000-0000891F0000}"/>
    <cellStyle name="Normal 9 2 5 3 2" xfId="3639" xr:uid="{00000000-0005-0000-0000-00008A1F0000}"/>
    <cellStyle name="Normal 9 2 5 3 2 2" xfId="7861" xr:uid="{00000000-0005-0000-0000-00008B1F0000}"/>
    <cellStyle name="Normal 9 2 5 3 2 2 2" xfId="17143" xr:uid="{BD86D82E-6876-4953-91A1-656FEDD590E1}"/>
    <cellStyle name="Normal 9 2 5 3 2 3" xfId="12926" xr:uid="{B90F2EB0-D63F-4CA8-A0A5-C2C200FA1368}"/>
    <cellStyle name="Normal 9 2 5 3 3" xfId="5716" xr:uid="{00000000-0005-0000-0000-00008C1F0000}"/>
    <cellStyle name="Normal 9 2 5 3 3 2" xfId="14998" xr:uid="{540A908E-3173-40F6-A847-FE6E183CB74E}"/>
    <cellStyle name="Normal 9 2 5 3 4" xfId="10781" xr:uid="{ABE11813-D1AA-4782-A7E0-3AADF90D5ED9}"/>
    <cellStyle name="Normal 9 2 5 4" xfId="1822" xr:uid="{00000000-0005-0000-0000-00008D1F0000}"/>
    <cellStyle name="Normal 9 2 5 4 2" xfId="4052" xr:uid="{00000000-0005-0000-0000-00008E1F0000}"/>
    <cellStyle name="Normal 9 2 5 4 2 2" xfId="8274" xr:uid="{00000000-0005-0000-0000-00008F1F0000}"/>
    <cellStyle name="Normal 9 2 5 4 2 2 2" xfId="17556" xr:uid="{553F2827-8583-41BC-A3E9-F61BC2EEDAE8}"/>
    <cellStyle name="Normal 9 2 5 4 2 3" xfId="13339" xr:uid="{CAD3398C-F808-451D-8D50-90A9E0E06165}"/>
    <cellStyle name="Normal 9 2 5 4 3" xfId="6129" xr:uid="{00000000-0005-0000-0000-0000901F0000}"/>
    <cellStyle name="Normal 9 2 5 4 3 2" xfId="15411" xr:uid="{CADD52CC-49E1-479C-B53B-167F40736145}"/>
    <cellStyle name="Normal 9 2 5 4 4" xfId="11194" xr:uid="{AC911379-321B-4D5C-9270-1F4403E22ED0}"/>
    <cellStyle name="Normal 9 2 5 5" xfId="2236" xr:uid="{00000000-0005-0000-0000-0000911F0000}"/>
    <cellStyle name="Normal 9 2 5 5 2" xfId="4465" xr:uid="{00000000-0005-0000-0000-0000921F0000}"/>
    <cellStyle name="Normal 9 2 5 5 2 2" xfId="8687" xr:uid="{00000000-0005-0000-0000-0000931F0000}"/>
    <cellStyle name="Normal 9 2 5 5 2 2 2" xfId="17969" xr:uid="{7DE6869B-E421-4681-B2DB-1ED5A08A4468}"/>
    <cellStyle name="Normal 9 2 5 5 2 3" xfId="13752" xr:uid="{FCDE9923-E96C-46F0-90E0-68DD53151099}"/>
    <cellStyle name="Normal 9 2 5 5 3" xfId="6542" xr:uid="{00000000-0005-0000-0000-0000941F0000}"/>
    <cellStyle name="Normal 9 2 5 5 3 2" xfId="15824" xr:uid="{C3695EEE-4AFF-499F-B104-A5F1775ED3B1}"/>
    <cellStyle name="Normal 9 2 5 5 4" xfId="11607" xr:uid="{0C626FB5-D928-4D18-922D-092C7A7A5CF4}"/>
    <cellStyle name="Normal 9 2 5 6" xfId="2672" xr:uid="{00000000-0005-0000-0000-0000951F0000}"/>
    <cellStyle name="Normal 9 2 5 6 2" xfId="6955" xr:uid="{00000000-0005-0000-0000-0000961F0000}"/>
    <cellStyle name="Normal 9 2 5 6 2 2" xfId="16237" xr:uid="{8CB52144-77F5-4187-84AD-D9971D04EE03}"/>
    <cellStyle name="Normal 9 2 5 6 3" xfId="12020" xr:uid="{EF49DF21-5766-4FB4-9D17-74D305ECA64A}"/>
    <cellStyle name="Normal 9 2 5 7" xfId="4890" xr:uid="{00000000-0005-0000-0000-0000971F0000}"/>
    <cellStyle name="Normal 9 2 5 7 2" xfId="14172" xr:uid="{B76110D8-5F2A-4DF5-BC3E-4B71340D7D88}"/>
    <cellStyle name="Normal 9 2 5 8" xfId="9955" xr:uid="{1919D371-59F1-4479-8E81-A0D4BFF98122}"/>
    <cellStyle name="Normal 9 2 5 9" xfId="9121" xr:uid="{C01B2977-F6FD-4515-B0F2-832308BA4E95}"/>
    <cellStyle name="Normal 9 2 6" xfId="978" xr:uid="{00000000-0005-0000-0000-0000981F0000}"/>
    <cellStyle name="Normal 9 2 6 2" xfId="3211" xr:uid="{00000000-0005-0000-0000-0000991F0000}"/>
    <cellStyle name="Normal 9 2 6 2 2" xfId="7433" xr:uid="{00000000-0005-0000-0000-00009A1F0000}"/>
    <cellStyle name="Normal 9 2 6 2 2 2" xfId="16715" xr:uid="{873E6AD1-97FB-44AA-B00B-239E273C0A6A}"/>
    <cellStyle name="Normal 9 2 6 2 3" xfId="12498" xr:uid="{9B44537D-A6D6-4CD2-9043-6BAE864ED7AE}"/>
    <cellStyle name="Normal 9 2 6 3" xfId="5288" xr:uid="{00000000-0005-0000-0000-00009B1F0000}"/>
    <cellStyle name="Normal 9 2 6 3 2" xfId="14570" xr:uid="{FDA98E71-7D82-4EFB-91B6-6C791AE63449}"/>
    <cellStyle name="Normal 9 2 6 4" xfId="10353" xr:uid="{37A186FA-9908-419E-9195-6E883DF934B6}"/>
    <cellStyle name="Normal 9 2 6 5" xfId="9525" xr:uid="{3F5973D5-18CB-4598-8B24-5B055A3518C2}"/>
    <cellStyle name="Normal 9 2 7" xfId="1394" xr:uid="{00000000-0005-0000-0000-00009C1F0000}"/>
    <cellStyle name="Normal 9 2 7 2" xfId="3624" xr:uid="{00000000-0005-0000-0000-00009D1F0000}"/>
    <cellStyle name="Normal 9 2 7 2 2" xfId="7846" xr:uid="{00000000-0005-0000-0000-00009E1F0000}"/>
    <cellStyle name="Normal 9 2 7 2 2 2" xfId="17128" xr:uid="{B68E5B32-6397-4B8D-B972-3AA0DD07C5CD}"/>
    <cellStyle name="Normal 9 2 7 2 3" xfId="12911" xr:uid="{6AFBCE4B-E7F5-4760-836B-B4EC1056EF13}"/>
    <cellStyle name="Normal 9 2 7 3" xfId="5701" xr:uid="{00000000-0005-0000-0000-00009F1F0000}"/>
    <cellStyle name="Normal 9 2 7 3 2" xfId="14983" xr:uid="{400516FA-FE6B-4997-B08D-5DDB26C5B78C}"/>
    <cellStyle name="Normal 9 2 7 4" xfId="10766" xr:uid="{1138A17B-B08D-4684-9CF2-22A2CA82C53A}"/>
    <cellStyle name="Normal 9 2 8" xfId="1807" xr:uid="{00000000-0005-0000-0000-0000A01F0000}"/>
    <cellStyle name="Normal 9 2 8 2" xfId="4037" xr:uid="{00000000-0005-0000-0000-0000A11F0000}"/>
    <cellStyle name="Normal 9 2 8 2 2" xfId="8259" xr:uid="{00000000-0005-0000-0000-0000A21F0000}"/>
    <cellStyle name="Normal 9 2 8 2 2 2" xfId="17541" xr:uid="{C6DC9731-2202-4B14-8DDD-ABF705BE043D}"/>
    <cellStyle name="Normal 9 2 8 2 3" xfId="13324" xr:uid="{9C107B48-AF89-47A4-A680-0D99EBC5316D}"/>
    <cellStyle name="Normal 9 2 8 3" xfId="6114" xr:uid="{00000000-0005-0000-0000-0000A31F0000}"/>
    <cellStyle name="Normal 9 2 8 3 2" xfId="15396" xr:uid="{5BF30834-2B3E-4450-BB38-2BCA81B617F6}"/>
    <cellStyle name="Normal 9 2 8 4" xfId="11179" xr:uid="{A0F48CFF-629C-43C4-8EFD-5A1E22AC1F69}"/>
    <cellStyle name="Normal 9 2 9" xfId="2221" xr:uid="{00000000-0005-0000-0000-0000A41F0000}"/>
    <cellStyle name="Normal 9 2 9 2" xfId="4450" xr:uid="{00000000-0005-0000-0000-0000A51F0000}"/>
    <cellStyle name="Normal 9 2 9 2 2" xfId="8672" xr:uid="{00000000-0005-0000-0000-0000A61F0000}"/>
    <cellStyle name="Normal 9 2 9 2 2 2" xfId="17954" xr:uid="{8152822C-44AD-4873-A5EC-97CD91BB3223}"/>
    <cellStyle name="Normal 9 2 9 2 3" xfId="13737" xr:uid="{41193C65-7586-4538-92A6-5C64E62751E4}"/>
    <cellStyle name="Normal 9 2 9 3" xfId="6527" xr:uid="{00000000-0005-0000-0000-0000A71F0000}"/>
    <cellStyle name="Normal 9 2 9 3 2" xfId="15809" xr:uid="{460092C2-5B55-40F3-8FF1-E2E40910B3B0}"/>
    <cellStyle name="Normal 9 2 9 4" xfId="11592" xr:uid="{81C423CD-DAB5-48A2-87E7-811B4E0B64EB}"/>
    <cellStyle name="Normal 9 3" xfId="527" xr:uid="{00000000-0005-0000-0000-0000A81F0000}"/>
    <cellStyle name="Normal 9 3 10" xfId="4891" xr:uid="{00000000-0005-0000-0000-0000A91F0000}"/>
    <cellStyle name="Normal 9 3 10 2" xfId="14173" xr:uid="{6F05B7C5-ADAA-4DDF-96B1-DACFE15CBBF5}"/>
    <cellStyle name="Normal 9 3 11" xfId="9956" xr:uid="{70D6A7C3-9D38-484A-954E-E6D58120010F}"/>
    <cellStyle name="Normal 9 3 12" xfId="9122" xr:uid="{22E358D5-C06B-4E7A-BE10-A62615592492}"/>
    <cellStyle name="Normal 9 3 2" xfId="528" xr:uid="{00000000-0005-0000-0000-0000AA1F0000}"/>
    <cellStyle name="Normal 9 3 2 10" xfId="9957" xr:uid="{D288FD6F-3B85-4E2F-9E4E-12DCA4DA4253}"/>
    <cellStyle name="Normal 9 3 2 11" xfId="9123" xr:uid="{E1D7A417-C745-4035-849B-98B78BFA6589}"/>
    <cellStyle name="Normal 9 3 2 2" xfId="529" xr:uid="{00000000-0005-0000-0000-0000AB1F0000}"/>
    <cellStyle name="Normal 9 3 2 2 10" xfId="9124" xr:uid="{6EAC9D2E-60D0-4DDD-BBFF-4147D32C4A59}"/>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34" xr:uid="{9553FAA8-BEC5-489A-99BC-09B5CE796684}"/>
    <cellStyle name="Normal 9 3 2 2 2 2 2 3" xfId="12517" xr:uid="{1A770311-A67D-4A23-AB3D-2EA07D4E90D8}"/>
    <cellStyle name="Normal 9 3 2 2 2 2 3" xfId="5307" xr:uid="{00000000-0005-0000-0000-0000B01F0000}"/>
    <cellStyle name="Normal 9 3 2 2 2 2 3 2" xfId="14589" xr:uid="{32BA19DD-422E-48F4-B17C-E9A931637CA8}"/>
    <cellStyle name="Normal 9 3 2 2 2 2 4" xfId="10372" xr:uid="{900CD2E5-96D6-4D27-96A4-68D8AF916473}"/>
    <cellStyle name="Normal 9 3 2 2 2 2 5" xfId="9544" xr:uid="{8ADB0AF0-07FE-4958-AF5D-B2D5EC50A8B9}"/>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47" xr:uid="{19A2456A-B2A4-4D79-9A69-BAB92FFB821C}"/>
    <cellStyle name="Normal 9 3 2 2 2 3 2 3" xfId="12930" xr:uid="{5886CECD-2524-4B5C-BDB1-C9E331901182}"/>
    <cellStyle name="Normal 9 3 2 2 2 3 3" xfId="5720" xr:uid="{00000000-0005-0000-0000-0000B41F0000}"/>
    <cellStyle name="Normal 9 3 2 2 2 3 3 2" xfId="15002" xr:uid="{6D1B6033-66DD-4E46-8EA2-121F777EE3D5}"/>
    <cellStyle name="Normal 9 3 2 2 2 3 4" xfId="10785" xr:uid="{46656DB6-FC41-49CE-BFDD-8F177460D3B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560" xr:uid="{EF0E606B-1242-4108-94CA-8A6267934613}"/>
    <cellStyle name="Normal 9 3 2 2 2 4 2 3" xfId="13343" xr:uid="{8B85791B-B57F-48A1-B42B-EB24513F1058}"/>
    <cellStyle name="Normal 9 3 2 2 2 4 3" xfId="6133" xr:uid="{00000000-0005-0000-0000-0000B81F0000}"/>
    <cellStyle name="Normal 9 3 2 2 2 4 3 2" xfId="15415" xr:uid="{D8F105E4-8586-4B4A-B84B-9331D06844D4}"/>
    <cellStyle name="Normal 9 3 2 2 2 4 4" xfId="11198" xr:uid="{0A6FF0CE-8D70-44F2-A7A5-04EE0CD1A4B2}"/>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973" xr:uid="{0439F87D-7ACB-4CFF-A914-C0B81E824829}"/>
    <cellStyle name="Normal 9 3 2 2 2 5 2 3" xfId="13756" xr:uid="{31D4D1DF-0B20-4582-8679-2F24E35E2E27}"/>
    <cellStyle name="Normal 9 3 2 2 2 5 3" xfId="6546" xr:uid="{00000000-0005-0000-0000-0000BC1F0000}"/>
    <cellStyle name="Normal 9 3 2 2 2 5 3 2" xfId="15828" xr:uid="{5885EEF4-588C-4F2C-8972-0D832DE3C75B}"/>
    <cellStyle name="Normal 9 3 2 2 2 5 4" xfId="11611" xr:uid="{D9DA5DD1-0A10-4B1E-8087-879E58737393}"/>
    <cellStyle name="Normal 9 3 2 2 2 6" xfId="2676" xr:uid="{00000000-0005-0000-0000-0000BD1F0000}"/>
    <cellStyle name="Normal 9 3 2 2 2 6 2" xfId="6959" xr:uid="{00000000-0005-0000-0000-0000BE1F0000}"/>
    <cellStyle name="Normal 9 3 2 2 2 6 2 2" xfId="16241" xr:uid="{53767056-2F72-45A5-8CE5-EED9616EB7D7}"/>
    <cellStyle name="Normal 9 3 2 2 2 6 3" xfId="12024" xr:uid="{3B004774-5769-415F-84F3-A0D77D0B50BC}"/>
    <cellStyle name="Normal 9 3 2 2 2 7" xfId="4894" xr:uid="{00000000-0005-0000-0000-0000BF1F0000}"/>
    <cellStyle name="Normal 9 3 2 2 2 7 2" xfId="14176" xr:uid="{1AE728BC-15B1-4A59-8FAA-772ECBFC3107}"/>
    <cellStyle name="Normal 9 3 2 2 2 8" xfId="9959" xr:uid="{417FA963-C43E-4851-9163-9F481ED39036}"/>
    <cellStyle name="Normal 9 3 2 2 2 9" xfId="9125" xr:uid="{14A4CA2A-AE9A-48B1-B098-35FD3E7643B3}"/>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33" xr:uid="{7F575A69-2011-40B8-B85F-DC7F50C75A9F}"/>
    <cellStyle name="Normal 9 3 2 2 3 2 3" xfId="12516" xr:uid="{0E3AA7F4-8E82-4FD2-B74C-8EE1108DA0CF}"/>
    <cellStyle name="Normal 9 3 2 2 3 3" xfId="5306" xr:uid="{00000000-0005-0000-0000-0000C31F0000}"/>
    <cellStyle name="Normal 9 3 2 2 3 3 2" xfId="14588" xr:uid="{1AC1D6C2-3BD6-42B7-9CE7-7C5392E33BFE}"/>
    <cellStyle name="Normal 9 3 2 2 3 4" xfId="10371" xr:uid="{CCC9A673-946D-4AF6-B109-BFFB33CF4AD8}"/>
    <cellStyle name="Normal 9 3 2 2 3 5" xfId="9543" xr:uid="{5BF38492-D798-4840-827D-959E1167B280}"/>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46" xr:uid="{3B7A07C8-0FAB-4FB6-A729-96B19476CC1C}"/>
    <cellStyle name="Normal 9 3 2 2 4 2 3" xfId="12929" xr:uid="{8679DE40-FDB6-4289-8496-F38B4467806C}"/>
    <cellStyle name="Normal 9 3 2 2 4 3" xfId="5719" xr:uid="{00000000-0005-0000-0000-0000C71F0000}"/>
    <cellStyle name="Normal 9 3 2 2 4 3 2" xfId="15001" xr:uid="{23A56F3B-70E2-47C3-86E5-A6A7AD85FA61}"/>
    <cellStyle name="Normal 9 3 2 2 4 4" xfId="10784" xr:uid="{9B936CF7-5806-42DD-9664-9585C69BD05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559" xr:uid="{730DDB6F-84EF-4B43-8110-DC2231E79937}"/>
    <cellStyle name="Normal 9 3 2 2 5 2 3" xfId="13342" xr:uid="{C1C9632A-5C31-44DD-B8D2-704D1AF9A529}"/>
    <cellStyle name="Normal 9 3 2 2 5 3" xfId="6132" xr:uid="{00000000-0005-0000-0000-0000CB1F0000}"/>
    <cellStyle name="Normal 9 3 2 2 5 3 2" xfId="15414" xr:uid="{AF71639E-A230-4C18-954F-9ECADCFB45BD}"/>
    <cellStyle name="Normal 9 3 2 2 5 4" xfId="11197" xr:uid="{C34FD974-4F76-450E-A211-BD34A5DA3518}"/>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972" xr:uid="{7FD9BEF4-F3D9-440F-8816-027446423458}"/>
    <cellStyle name="Normal 9 3 2 2 6 2 3" xfId="13755" xr:uid="{B9F17458-5E10-4F92-BA3C-3DA8354605AF}"/>
    <cellStyle name="Normal 9 3 2 2 6 3" xfId="6545" xr:uid="{00000000-0005-0000-0000-0000CF1F0000}"/>
    <cellStyle name="Normal 9 3 2 2 6 3 2" xfId="15827" xr:uid="{34EE923E-883C-4F98-9A68-5AC528A9700A}"/>
    <cellStyle name="Normal 9 3 2 2 6 4" xfId="11610" xr:uid="{2351F538-4645-4AF3-8219-F7552CB24A5C}"/>
    <cellStyle name="Normal 9 3 2 2 7" xfId="2675" xr:uid="{00000000-0005-0000-0000-0000D01F0000}"/>
    <cellStyle name="Normal 9 3 2 2 7 2" xfId="6958" xr:uid="{00000000-0005-0000-0000-0000D11F0000}"/>
    <cellStyle name="Normal 9 3 2 2 7 2 2" xfId="16240" xr:uid="{2F1151CE-18BA-48D8-A021-994A0E90C63F}"/>
    <cellStyle name="Normal 9 3 2 2 7 3" xfId="12023" xr:uid="{A14A3736-DD15-4026-87A0-6C1F45597ABD}"/>
    <cellStyle name="Normal 9 3 2 2 8" xfId="4893" xr:uid="{00000000-0005-0000-0000-0000D21F0000}"/>
    <cellStyle name="Normal 9 3 2 2 8 2" xfId="14175" xr:uid="{90553095-8FBA-446E-A60F-A65444EFFB0B}"/>
    <cellStyle name="Normal 9 3 2 2 9" xfId="9958" xr:uid="{F55B1660-60F3-48A9-90B9-54408D2A7F33}"/>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35" xr:uid="{92811CC0-FDF8-48B8-8D81-453909439625}"/>
    <cellStyle name="Normal 9 3 2 3 2 2 3" xfId="12518" xr:uid="{25B7A25F-A3AD-4438-98EA-29AF8420E8E0}"/>
    <cellStyle name="Normal 9 3 2 3 2 3" xfId="5308" xr:uid="{00000000-0005-0000-0000-0000D71F0000}"/>
    <cellStyle name="Normal 9 3 2 3 2 3 2" xfId="14590" xr:uid="{09685CE4-0CAE-4D45-BF75-54FBAE15C732}"/>
    <cellStyle name="Normal 9 3 2 3 2 4" xfId="10373" xr:uid="{E687B045-C7EA-4E5F-9B8F-839BF242B0FD}"/>
    <cellStyle name="Normal 9 3 2 3 2 5" xfId="9545" xr:uid="{647F3EFE-E8A5-450F-B982-601D1921CF47}"/>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48" xr:uid="{C03F11D9-6D8E-4308-954E-671C1142E02E}"/>
    <cellStyle name="Normal 9 3 2 3 3 2 3" xfId="12931" xr:uid="{4390D333-F33B-4FFC-922A-03F0ECA5856B}"/>
    <cellStyle name="Normal 9 3 2 3 3 3" xfId="5721" xr:uid="{00000000-0005-0000-0000-0000DB1F0000}"/>
    <cellStyle name="Normal 9 3 2 3 3 3 2" xfId="15003" xr:uid="{42ADF897-B387-434E-B0F0-EE17D641E1DC}"/>
    <cellStyle name="Normal 9 3 2 3 3 4" xfId="10786" xr:uid="{4ABE2291-A837-43B1-BFA0-D70EE6DF9AB4}"/>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561" xr:uid="{8A4A0EC9-F4F7-407E-B3EA-EE4918A4C73F}"/>
    <cellStyle name="Normal 9 3 2 3 4 2 3" xfId="13344" xr:uid="{2F6F5688-9D00-4174-9FFF-61EB9D798587}"/>
    <cellStyle name="Normal 9 3 2 3 4 3" xfId="6134" xr:uid="{00000000-0005-0000-0000-0000DF1F0000}"/>
    <cellStyle name="Normal 9 3 2 3 4 3 2" xfId="15416" xr:uid="{AAAA66FB-A02D-454B-818D-399EFEE92C10}"/>
    <cellStyle name="Normal 9 3 2 3 4 4" xfId="11199" xr:uid="{84156E44-83A0-4AC8-AFA3-9CA4F1DFA2F8}"/>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974" xr:uid="{0C97288B-0E54-49DE-9223-A87AA63C990C}"/>
    <cellStyle name="Normal 9 3 2 3 5 2 3" xfId="13757" xr:uid="{EC2C6AD4-EE96-472F-B4F2-AE0480E49333}"/>
    <cellStyle name="Normal 9 3 2 3 5 3" xfId="6547" xr:uid="{00000000-0005-0000-0000-0000E31F0000}"/>
    <cellStyle name="Normal 9 3 2 3 5 3 2" xfId="15829" xr:uid="{8F309CB3-A4D3-4050-96BF-670789623AE6}"/>
    <cellStyle name="Normal 9 3 2 3 5 4" xfId="11612" xr:uid="{26797F68-1C5C-49CA-977F-B9A1B34B15EE}"/>
    <cellStyle name="Normal 9 3 2 3 6" xfId="2677" xr:uid="{00000000-0005-0000-0000-0000E41F0000}"/>
    <cellStyle name="Normal 9 3 2 3 6 2" xfId="6960" xr:uid="{00000000-0005-0000-0000-0000E51F0000}"/>
    <cellStyle name="Normal 9 3 2 3 6 2 2" xfId="16242" xr:uid="{F02ADE2E-0498-487D-BD50-48858FBB7A36}"/>
    <cellStyle name="Normal 9 3 2 3 6 3" xfId="12025" xr:uid="{90BD0A6D-512A-4F8E-9045-78D979831A1C}"/>
    <cellStyle name="Normal 9 3 2 3 7" xfId="4895" xr:uid="{00000000-0005-0000-0000-0000E61F0000}"/>
    <cellStyle name="Normal 9 3 2 3 7 2" xfId="14177" xr:uid="{AF856EE0-8F36-4490-A47F-BAC86B8C089B}"/>
    <cellStyle name="Normal 9 3 2 3 8" xfId="9960" xr:uid="{3D8A8B74-461D-4DD4-B1C1-C912379DC40A}"/>
    <cellStyle name="Normal 9 3 2 3 9" xfId="9126" xr:uid="{77DC3D34-EDB2-43DD-B949-6602470CB802}"/>
    <cellStyle name="Normal 9 3 2 4" xfId="995" xr:uid="{00000000-0005-0000-0000-0000E71F0000}"/>
    <cellStyle name="Normal 9 3 2 4 2" xfId="3228" xr:uid="{00000000-0005-0000-0000-0000E81F0000}"/>
    <cellStyle name="Normal 9 3 2 4 2 2" xfId="7450" xr:uid="{00000000-0005-0000-0000-0000E91F0000}"/>
    <cellStyle name="Normal 9 3 2 4 2 2 2" xfId="16732" xr:uid="{1CBBDABC-BA54-45E5-8AB6-D6E2C2F62E64}"/>
    <cellStyle name="Normal 9 3 2 4 2 3" xfId="12515" xr:uid="{3AFFBFBE-45E0-479C-A661-5A82EB127046}"/>
    <cellStyle name="Normal 9 3 2 4 3" xfId="5305" xr:uid="{00000000-0005-0000-0000-0000EA1F0000}"/>
    <cellStyle name="Normal 9 3 2 4 3 2" xfId="14587" xr:uid="{DFE253D8-6B06-4BFF-8FA8-5680C635992D}"/>
    <cellStyle name="Normal 9 3 2 4 4" xfId="10370" xr:uid="{0FB1F26A-5374-4483-96C6-C51BCF53F68A}"/>
    <cellStyle name="Normal 9 3 2 4 5" xfId="9542" xr:uid="{3AA315FB-B727-4970-A01C-97B96C7E3BAF}"/>
    <cellStyle name="Normal 9 3 2 5" xfId="1411" xr:uid="{00000000-0005-0000-0000-0000EB1F0000}"/>
    <cellStyle name="Normal 9 3 2 5 2" xfId="3641" xr:uid="{00000000-0005-0000-0000-0000EC1F0000}"/>
    <cellStyle name="Normal 9 3 2 5 2 2" xfId="7863" xr:uid="{00000000-0005-0000-0000-0000ED1F0000}"/>
    <cellStyle name="Normal 9 3 2 5 2 2 2" xfId="17145" xr:uid="{F4E58798-93C8-4999-8534-DB4865D6A87A}"/>
    <cellStyle name="Normal 9 3 2 5 2 3" xfId="12928" xr:uid="{9D68C6DF-28CB-4DFB-98CF-C13D49E4081B}"/>
    <cellStyle name="Normal 9 3 2 5 3" xfId="5718" xr:uid="{00000000-0005-0000-0000-0000EE1F0000}"/>
    <cellStyle name="Normal 9 3 2 5 3 2" xfId="15000" xr:uid="{42091845-7653-4F66-8F8D-1527F3C56770}"/>
    <cellStyle name="Normal 9 3 2 5 4" xfId="10783" xr:uid="{27C384CD-ADC9-4C12-9287-EE9563FE5CA2}"/>
    <cellStyle name="Normal 9 3 2 6" xfId="1824" xr:uid="{00000000-0005-0000-0000-0000EF1F0000}"/>
    <cellStyle name="Normal 9 3 2 6 2" xfId="4054" xr:uid="{00000000-0005-0000-0000-0000F01F0000}"/>
    <cellStyle name="Normal 9 3 2 6 2 2" xfId="8276" xr:uid="{00000000-0005-0000-0000-0000F11F0000}"/>
    <cellStyle name="Normal 9 3 2 6 2 2 2" xfId="17558" xr:uid="{3739E260-CC88-40E6-9F5B-313F4EFACF7E}"/>
    <cellStyle name="Normal 9 3 2 6 2 3" xfId="13341" xr:uid="{38E0A6E4-3968-4955-A2FF-947F4D65AFD9}"/>
    <cellStyle name="Normal 9 3 2 6 3" xfId="6131" xr:uid="{00000000-0005-0000-0000-0000F21F0000}"/>
    <cellStyle name="Normal 9 3 2 6 3 2" xfId="15413" xr:uid="{94F6EF8E-1B26-4B10-BC68-877572E59778}"/>
    <cellStyle name="Normal 9 3 2 6 4" xfId="11196" xr:uid="{2975507F-CAA5-4B49-BD94-E44378906689}"/>
    <cellStyle name="Normal 9 3 2 7" xfId="2238" xr:uid="{00000000-0005-0000-0000-0000F31F0000}"/>
    <cellStyle name="Normal 9 3 2 7 2" xfId="4467" xr:uid="{00000000-0005-0000-0000-0000F41F0000}"/>
    <cellStyle name="Normal 9 3 2 7 2 2" xfId="8689" xr:uid="{00000000-0005-0000-0000-0000F51F0000}"/>
    <cellStyle name="Normal 9 3 2 7 2 2 2" xfId="17971" xr:uid="{E61A6F44-8259-4D90-9279-20A1284E8D58}"/>
    <cellStyle name="Normal 9 3 2 7 2 3" xfId="13754" xr:uid="{9C90C373-4821-4758-A29B-BA081FFA42E7}"/>
    <cellStyle name="Normal 9 3 2 7 3" xfId="6544" xr:uid="{00000000-0005-0000-0000-0000F61F0000}"/>
    <cellStyle name="Normal 9 3 2 7 3 2" xfId="15826" xr:uid="{DE02E6FB-CD02-4F74-98DB-586064A46849}"/>
    <cellStyle name="Normal 9 3 2 7 4" xfId="11609" xr:uid="{E8EC0791-6EC3-4172-BCA7-BE9A47EB0081}"/>
    <cellStyle name="Normal 9 3 2 8" xfId="2674" xr:uid="{00000000-0005-0000-0000-0000F71F0000}"/>
    <cellStyle name="Normal 9 3 2 8 2" xfId="6957" xr:uid="{00000000-0005-0000-0000-0000F81F0000}"/>
    <cellStyle name="Normal 9 3 2 8 2 2" xfId="16239" xr:uid="{5C73F1A3-8BEF-465F-9A97-B4DADF1C430F}"/>
    <cellStyle name="Normal 9 3 2 8 3" xfId="12022" xr:uid="{228DA016-8709-4324-8E97-AA7A9A77CF38}"/>
    <cellStyle name="Normal 9 3 2 9" xfId="4892" xr:uid="{00000000-0005-0000-0000-0000F91F0000}"/>
    <cellStyle name="Normal 9 3 2 9 2" xfId="14174" xr:uid="{646C2AD6-CB77-4ACD-98AF-F7480A21DC66}"/>
    <cellStyle name="Normal 9 3 3" xfId="532" xr:uid="{00000000-0005-0000-0000-0000FA1F0000}"/>
    <cellStyle name="Normal 9 3 3 10" xfId="9127" xr:uid="{EB601D39-F1BD-4605-8467-95F107FE8F2F}"/>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37" xr:uid="{F4E25D56-872B-4393-90AA-5A9A96DC5A5A}"/>
    <cellStyle name="Normal 9 3 3 2 2 2 3" xfId="12520" xr:uid="{A21F560E-8482-44E2-A9FE-909BD2C6D562}"/>
    <cellStyle name="Normal 9 3 3 2 2 3" xfId="5310" xr:uid="{00000000-0005-0000-0000-0000FF1F0000}"/>
    <cellStyle name="Normal 9 3 3 2 2 3 2" xfId="14592" xr:uid="{E7CD95D3-6465-47A8-B210-7C6F6E98817B}"/>
    <cellStyle name="Normal 9 3 3 2 2 4" xfId="10375" xr:uid="{A1BBCE40-F122-4E2D-A998-EDAC19EE6675}"/>
    <cellStyle name="Normal 9 3 3 2 2 5" xfId="9547" xr:uid="{786D7361-8CCF-4070-A27C-B19E2534231D}"/>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50" xr:uid="{2DC6AC9E-7320-4D18-A707-74C59E7F38A4}"/>
    <cellStyle name="Normal 9 3 3 2 3 2 3" xfId="12933" xr:uid="{C73493E8-826F-4DC6-A4E6-06D381845DF8}"/>
    <cellStyle name="Normal 9 3 3 2 3 3" xfId="5723" xr:uid="{00000000-0005-0000-0000-000003200000}"/>
    <cellStyle name="Normal 9 3 3 2 3 3 2" xfId="15005" xr:uid="{CEA70D9A-D758-4251-9872-DB4AA597E7E4}"/>
    <cellStyle name="Normal 9 3 3 2 3 4" xfId="10788" xr:uid="{9FAA48B4-D077-466C-ACB1-D6871B0A7A20}"/>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563" xr:uid="{E253888F-E2B3-4A29-81C1-8A87DAA445F0}"/>
    <cellStyle name="Normal 9 3 3 2 4 2 3" xfId="13346" xr:uid="{867D3270-54DE-4A25-9E7C-79460C1BF2FF}"/>
    <cellStyle name="Normal 9 3 3 2 4 3" xfId="6136" xr:uid="{00000000-0005-0000-0000-000007200000}"/>
    <cellStyle name="Normal 9 3 3 2 4 3 2" xfId="15418" xr:uid="{92C652CF-C571-4293-B25A-82542AAE0DEC}"/>
    <cellStyle name="Normal 9 3 3 2 4 4" xfId="11201" xr:uid="{550D9AC0-B534-4527-95A9-EC67840AF2B9}"/>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976" xr:uid="{272153BC-E6D5-406E-BC31-99146B3A76C2}"/>
    <cellStyle name="Normal 9 3 3 2 5 2 3" xfId="13759" xr:uid="{90BC883E-0D69-4887-A7A0-ADC2DCAF2551}"/>
    <cellStyle name="Normal 9 3 3 2 5 3" xfId="6549" xr:uid="{00000000-0005-0000-0000-00000B200000}"/>
    <cellStyle name="Normal 9 3 3 2 5 3 2" xfId="15831" xr:uid="{8310ED7B-2332-4AAA-8B2A-C737444165A4}"/>
    <cellStyle name="Normal 9 3 3 2 5 4" xfId="11614" xr:uid="{A1A346F1-FD39-4DB5-9B4A-EA36F35EE008}"/>
    <cellStyle name="Normal 9 3 3 2 6" xfId="2679" xr:uid="{00000000-0005-0000-0000-00000C200000}"/>
    <cellStyle name="Normal 9 3 3 2 6 2" xfId="6962" xr:uid="{00000000-0005-0000-0000-00000D200000}"/>
    <cellStyle name="Normal 9 3 3 2 6 2 2" xfId="16244" xr:uid="{C4F70C0C-0BBD-478C-A8B3-E5692E237BA9}"/>
    <cellStyle name="Normal 9 3 3 2 6 3" xfId="12027" xr:uid="{77A46DE8-6C04-426F-AF5F-D70E91019120}"/>
    <cellStyle name="Normal 9 3 3 2 7" xfId="4897" xr:uid="{00000000-0005-0000-0000-00000E200000}"/>
    <cellStyle name="Normal 9 3 3 2 7 2" xfId="14179" xr:uid="{CB2C7F9E-6007-4EEB-B57F-FC127EC37EA8}"/>
    <cellStyle name="Normal 9 3 3 2 8" xfId="9962" xr:uid="{973935DF-91B2-4A21-ADE2-57E88F3A8A18}"/>
    <cellStyle name="Normal 9 3 3 2 9" xfId="9128" xr:uid="{DCE3EFA9-92B1-4E0F-9F11-2A1CA82EE085}"/>
    <cellStyle name="Normal 9 3 3 3" xfId="999" xr:uid="{00000000-0005-0000-0000-00000F200000}"/>
    <cellStyle name="Normal 9 3 3 3 2" xfId="3232" xr:uid="{00000000-0005-0000-0000-000010200000}"/>
    <cellStyle name="Normal 9 3 3 3 2 2" xfId="7454" xr:uid="{00000000-0005-0000-0000-000011200000}"/>
    <cellStyle name="Normal 9 3 3 3 2 2 2" xfId="16736" xr:uid="{A0D390BC-B8C5-4C67-83AD-B65C61F983FA}"/>
    <cellStyle name="Normal 9 3 3 3 2 3" xfId="12519" xr:uid="{2F707893-F099-4F0B-A68B-FBB8974963F9}"/>
    <cellStyle name="Normal 9 3 3 3 3" xfId="5309" xr:uid="{00000000-0005-0000-0000-000012200000}"/>
    <cellStyle name="Normal 9 3 3 3 3 2" xfId="14591" xr:uid="{238632E3-C47D-49E3-A9B5-ABC3E6E91072}"/>
    <cellStyle name="Normal 9 3 3 3 4" xfId="10374" xr:uid="{3EAFF5A9-E162-4913-814A-E4B439B48451}"/>
    <cellStyle name="Normal 9 3 3 3 5" xfId="9546" xr:uid="{C7A80B47-E149-4FB5-B191-2E0625C1FB31}"/>
    <cellStyle name="Normal 9 3 3 4" xfId="1415" xr:uid="{00000000-0005-0000-0000-000013200000}"/>
    <cellStyle name="Normal 9 3 3 4 2" xfId="3645" xr:uid="{00000000-0005-0000-0000-000014200000}"/>
    <cellStyle name="Normal 9 3 3 4 2 2" xfId="7867" xr:uid="{00000000-0005-0000-0000-000015200000}"/>
    <cellStyle name="Normal 9 3 3 4 2 2 2" xfId="17149" xr:uid="{A99B14EF-1BA0-4A54-A797-382510BF6C3C}"/>
    <cellStyle name="Normal 9 3 3 4 2 3" xfId="12932" xr:uid="{59BF3E8D-F22E-4FF5-908F-7486A5B5DCDA}"/>
    <cellStyle name="Normal 9 3 3 4 3" xfId="5722" xr:uid="{00000000-0005-0000-0000-000016200000}"/>
    <cellStyle name="Normal 9 3 3 4 3 2" xfId="15004" xr:uid="{7E910DAE-A2CB-41DD-B26C-0EBC63E85E4E}"/>
    <cellStyle name="Normal 9 3 3 4 4" xfId="10787" xr:uid="{356A48E6-E3D7-494A-99BF-7C41926D4873}"/>
    <cellStyle name="Normal 9 3 3 5" xfId="1828" xr:uid="{00000000-0005-0000-0000-000017200000}"/>
    <cellStyle name="Normal 9 3 3 5 2" xfId="4058" xr:uid="{00000000-0005-0000-0000-000018200000}"/>
    <cellStyle name="Normal 9 3 3 5 2 2" xfId="8280" xr:uid="{00000000-0005-0000-0000-000019200000}"/>
    <cellStyle name="Normal 9 3 3 5 2 2 2" xfId="17562" xr:uid="{AD3C1D22-7C41-47E3-92DC-B39F8ABC3899}"/>
    <cellStyle name="Normal 9 3 3 5 2 3" xfId="13345" xr:uid="{22E2F60B-473B-4A19-8BBE-B777C610DE18}"/>
    <cellStyle name="Normal 9 3 3 5 3" xfId="6135" xr:uid="{00000000-0005-0000-0000-00001A200000}"/>
    <cellStyle name="Normal 9 3 3 5 3 2" xfId="15417" xr:uid="{39ABBABA-265D-48D4-9174-A5F17DA8E39B}"/>
    <cellStyle name="Normal 9 3 3 5 4" xfId="11200" xr:uid="{7A21CCDF-0958-487C-B284-3F0D02D35872}"/>
    <cellStyle name="Normal 9 3 3 6" xfId="2242" xr:uid="{00000000-0005-0000-0000-00001B200000}"/>
    <cellStyle name="Normal 9 3 3 6 2" xfId="4471" xr:uid="{00000000-0005-0000-0000-00001C200000}"/>
    <cellStyle name="Normal 9 3 3 6 2 2" xfId="8693" xr:uid="{00000000-0005-0000-0000-00001D200000}"/>
    <cellStyle name="Normal 9 3 3 6 2 2 2" xfId="17975" xr:uid="{D0472502-4C83-4AB9-B012-FE80C12BB04C}"/>
    <cellStyle name="Normal 9 3 3 6 2 3" xfId="13758" xr:uid="{193CE494-6CBF-43F5-B82C-FA0579269040}"/>
    <cellStyle name="Normal 9 3 3 6 3" xfId="6548" xr:uid="{00000000-0005-0000-0000-00001E200000}"/>
    <cellStyle name="Normal 9 3 3 6 3 2" xfId="15830" xr:uid="{D0C005D6-5D6A-42AC-AF8E-A933537A0F67}"/>
    <cellStyle name="Normal 9 3 3 6 4" xfId="11613" xr:uid="{82272B78-5B9E-4329-8670-7C6D4B568E40}"/>
    <cellStyle name="Normal 9 3 3 7" xfId="2678" xr:uid="{00000000-0005-0000-0000-00001F200000}"/>
    <cellStyle name="Normal 9 3 3 7 2" xfId="6961" xr:uid="{00000000-0005-0000-0000-000020200000}"/>
    <cellStyle name="Normal 9 3 3 7 2 2" xfId="16243" xr:uid="{9039986E-EB2E-40CC-8539-417913113E82}"/>
    <cellStyle name="Normal 9 3 3 7 3" xfId="12026" xr:uid="{77767328-517A-42CF-814A-EB26E7DCE12D}"/>
    <cellStyle name="Normal 9 3 3 8" xfId="4896" xr:uid="{00000000-0005-0000-0000-000021200000}"/>
    <cellStyle name="Normal 9 3 3 8 2" xfId="14178" xr:uid="{5330B354-4700-43FB-8452-3381B7B92B33}"/>
    <cellStyle name="Normal 9 3 3 9" xfId="9961" xr:uid="{51573CEF-E2EE-446B-BC21-72A73F9171C7}"/>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38" xr:uid="{124618AF-C977-4CA4-BC14-E7FA63DFC96F}"/>
    <cellStyle name="Normal 9 3 4 2 2 3" xfId="12521" xr:uid="{5016EE50-D2D1-4118-8D3B-4CEFD295FEBD}"/>
    <cellStyle name="Normal 9 3 4 2 3" xfId="5311" xr:uid="{00000000-0005-0000-0000-000026200000}"/>
    <cellStyle name="Normal 9 3 4 2 3 2" xfId="14593" xr:uid="{6944FA56-A3D0-4A9E-B28F-609A34C09F77}"/>
    <cellStyle name="Normal 9 3 4 2 4" xfId="10376" xr:uid="{2C8F9299-74DA-4D50-B0A9-915655BF2D11}"/>
    <cellStyle name="Normal 9 3 4 2 5" xfId="9548" xr:uid="{70B4BD92-239F-4D5D-9607-26927D5F8402}"/>
    <cellStyle name="Normal 9 3 4 3" xfId="1417" xr:uid="{00000000-0005-0000-0000-000027200000}"/>
    <cellStyle name="Normal 9 3 4 3 2" xfId="3647" xr:uid="{00000000-0005-0000-0000-000028200000}"/>
    <cellStyle name="Normal 9 3 4 3 2 2" xfId="7869" xr:uid="{00000000-0005-0000-0000-000029200000}"/>
    <cellStyle name="Normal 9 3 4 3 2 2 2" xfId="17151" xr:uid="{2FAB792F-AF14-4383-B4DB-530D8D10FC7C}"/>
    <cellStyle name="Normal 9 3 4 3 2 3" xfId="12934" xr:uid="{DFEBEFF0-7032-4928-8BFD-55548FD7658E}"/>
    <cellStyle name="Normal 9 3 4 3 3" xfId="5724" xr:uid="{00000000-0005-0000-0000-00002A200000}"/>
    <cellStyle name="Normal 9 3 4 3 3 2" xfId="15006" xr:uid="{F4C46ADC-AA4D-422B-A433-47974974AC2A}"/>
    <cellStyle name="Normal 9 3 4 3 4" xfId="10789" xr:uid="{E1A9F777-C345-4F7E-93A0-A68CBAFF4598}"/>
    <cellStyle name="Normal 9 3 4 4" xfId="1830" xr:uid="{00000000-0005-0000-0000-00002B200000}"/>
    <cellStyle name="Normal 9 3 4 4 2" xfId="4060" xr:uid="{00000000-0005-0000-0000-00002C200000}"/>
    <cellStyle name="Normal 9 3 4 4 2 2" xfId="8282" xr:uid="{00000000-0005-0000-0000-00002D200000}"/>
    <cellStyle name="Normal 9 3 4 4 2 2 2" xfId="17564" xr:uid="{989BC759-7481-4D75-B008-E08ECF77CFAD}"/>
    <cellStyle name="Normal 9 3 4 4 2 3" xfId="13347" xr:uid="{08A08748-907E-46C9-9411-FD5A3F0032E8}"/>
    <cellStyle name="Normal 9 3 4 4 3" xfId="6137" xr:uid="{00000000-0005-0000-0000-00002E200000}"/>
    <cellStyle name="Normal 9 3 4 4 3 2" xfId="15419" xr:uid="{370B633A-A60C-431E-8AF9-499D44086714}"/>
    <cellStyle name="Normal 9 3 4 4 4" xfId="11202" xr:uid="{D600F506-5301-4FE3-9159-C4E90774FC11}"/>
    <cellStyle name="Normal 9 3 4 5" xfId="2244" xr:uid="{00000000-0005-0000-0000-00002F200000}"/>
    <cellStyle name="Normal 9 3 4 5 2" xfId="4473" xr:uid="{00000000-0005-0000-0000-000030200000}"/>
    <cellStyle name="Normal 9 3 4 5 2 2" xfId="8695" xr:uid="{00000000-0005-0000-0000-000031200000}"/>
    <cellStyle name="Normal 9 3 4 5 2 2 2" xfId="17977" xr:uid="{4D7A71DD-FF8E-480E-86AD-E06B05D11A6D}"/>
    <cellStyle name="Normal 9 3 4 5 2 3" xfId="13760" xr:uid="{3AA10426-FED7-4354-9955-DEF8C00DBF38}"/>
    <cellStyle name="Normal 9 3 4 5 3" xfId="6550" xr:uid="{00000000-0005-0000-0000-000032200000}"/>
    <cellStyle name="Normal 9 3 4 5 3 2" xfId="15832" xr:uid="{5CACBE4F-2C5C-4145-BB2C-7F88E4070E37}"/>
    <cellStyle name="Normal 9 3 4 5 4" xfId="11615" xr:uid="{219436A1-7350-4122-967E-431459DA6562}"/>
    <cellStyle name="Normal 9 3 4 6" xfId="2680" xr:uid="{00000000-0005-0000-0000-000033200000}"/>
    <cellStyle name="Normal 9 3 4 6 2" xfId="6963" xr:uid="{00000000-0005-0000-0000-000034200000}"/>
    <cellStyle name="Normal 9 3 4 6 2 2" xfId="16245" xr:uid="{E8D5CDD9-B485-40A2-A43D-50B0A81267B2}"/>
    <cellStyle name="Normal 9 3 4 6 3" xfId="12028" xr:uid="{9B9AC35C-7741-4033-B9E6-BF99E90C699F}"/>
    <cellStyle name="Normal 9 3 4 7" xfId="4898" xr:uid="{00000000-0005-0000-0000-000035200000}"/>
    <cellStyle name="Normal 9 3 4 7 2" xfId="14180" xr:uid="{C4407C16-D2AC-4751-A642-C42EB25C99B6}"/>
    <cellStyle name="Normal 9 3 4 8" xfId="9963" xr:uid="{9F5382B5-A408-4504-8C22-8237C44C24A6}"/>
    <cellStyle name="Normal 9 3 4 9" xfId="9129" xr:uid="{22737E84-94EE-43EE-99E4-E44F9B2B2F04}"/>
    <cellStyle name="Normal 9 3 5" xfId="994" xr:uid="{00000000-0005-0000-0000-000036200000}"/>
    <cellStyle name="Normal 9 3 5 2" xfId="3227" xr:uid="{00000000-0005-0000-0000-000037200000}"/>
    <cellStyle name="Normal 9 3 5 2 2" xfId="7449" xr:uid="{00000000-0005-0000-0000-000038200000}"/>
    <cellStyle name="Normal 9 3 5 2 2 2" xfId="16731" xr:uid="{DEED741B-8AA9-4425-81FB-592E3BF24F69}"/>
    <cellStyle name="Normal 9 3 5 2 3" xfId="12514" xr:uid="{556C22C4-16BD-4601-B25A-CB72F0A03F41}"/>
    <cellStyle name="Normal 9 3 5 3" xfId="5304" xr:uid="{00000000-0005-0000-0000-000039200000}"/>
    <cellStyle name="Normal 9 3 5 3 2" xfId="14586" xr:uid="{A4F62DE1-BBBF-4614-B5C2-3525E6A3B21E}"/>
    <cellStyle name="Normal 9 3 5 4" xfId="10369" xr:uid="{E5642343-C3A1-4DFE-BD67-39CF8C408ED6}"/>
    <cellStyle name="Normal 9 3 5 5" xfId="9541" xr:uid="{30223AFE-018E-4F61-9B07-8A166173A8A3}"/>
    <cellStyle name="Normal 9 3 6" xfId="1410" xr:uid="{00000000-0005-0000-0000-00003A200000}"/>
    <cellStyle name="Normal 9 3 6 2" xfId="3640" xr:uid="{00000000-0005-0000-0000-00003B200000}"/>
    <cellStyle name="Normal 9 3 6 2 2" xfId="7862" xr:uid="{00000000-0005-0000-0000-00003C200000}"/>
    <cellStyle name="Normal 9 3 6 2 2 2" xfId="17144" xr:uid="{AD26E26F-355C-4A1B-87FA-A97B1B1EE4A5}"/>
    <cellStyle name="Normal 9 3 6 2 3" xfId="12927" xr:uid="{C3567F9C-F342-4CA9-A0D0-5D62D7F892EC}"/>
    <cellStyle name="Normal 9 3 6 3" xfId="5717" xr:uid="{00000000-0005-0000-0000-00003D200000}"/>
    <cellStyle name="Normal 9 3 6 3 2" xfId="14999" xr:uid="{3BCBEDA0-2808-4F3F-B897-C079D9B1E7EC}"/>
    <cellStyle name="Normal 9 3 6 4" xfId="10782" xr:uid="{E461892E-7CC1-47B8-AB30-FA99FC0CD2BE}"/>
    <cellStyle name="Normal 9 3 7" xfId="1823" xr:uid="{00000000-0005-0000-0000-00003E200000}"/>
    <cellStyle name="Normal 9 3 7 2" xfId="4053" xr:uid="{00000000-0005-0000-0000-00003F200000}"/>
    <cellStyle name="Normal 9 3 7 2 2" xfId="8275" xr:uid="{00000000-0005-0000-0000-000040200000}"/>
    <cellStyle name="Normal 9 3 7 2 2 2" xfId="17557" xr:uid="{F04E57FF-4B55-44E2-8CBC-200F86CADE24}"/>
    <cellStyle name="Normal 9 3 7 2 3" xfId="13340" xr:uid="{24FAA41B-9949-46C8-B8AA-09FD713E458B}"/>
    <cellStyle name="Normal 9 3 7 3" xfId="6130" xr:uid="{00000000-0005-0000-0000-000041200000}"/>
    <cellStyle name="Normal 9 3 7 3 2" xfId="15412" xr:uid="{5E4D6569-6EE2-4139-8556-3DCD6C76A6F7}"/>
    <cellStyle name="Normal 9 3 7 4" xfId="11195" xr:uid="{F6D24338-F1C0-4150-8946-9BDB9C240AC9}"/>
    <cellStyle name="Normal 9 3 8" xfId="2237" xr:uid="{00000000-0005-0000-0000-000042200000}"/>
    <cellStyle name="Normal 9 3 8 2" xfId="4466" xr:uid="{00000000-0005-0000-0000-000043200000}"/>
    <cellStyle name="Normal 9 3 8 2 2" xfId="8688" xr:uid="{00000000-0005-0000-0000-000044200000}"/>
    <cellStyle name="Normal 9 3 8 2 2 2" xfId="17970" xr:uid="{2D0D9E70-38BA-4135-B8EC-54653DB5E6ED}"/>
    <cellStyle name="Normal 9 3 8 2 3" xfId="13753" xr:uid="{8D26A851-F1BE-46F9-94F4-0F539085FC3E}"/>
    <cellStyle name="Normal 9 3 8 3" xfId="6543" xr:uid="{00000000-0005-0000-0000-000045200000}"/>
    <cellStyle name="Normal 9 3 8 3 2" xfId="15825" xr:uid="{8A1F5F1A-42D2-4855-A288-D272A95C07AD}"/>
    <cellStyle name="Normal 9 3 8 4" xfId="11608" xr:uid="{793B71C9-1C7F-44B4-8EBC-6649AFF9314A}"/>
    <cellStyle name="Normal 9 3 9" xfId="2673" xr:uid="{00000000-0005-0000-0000-000046200000}"/>
    <cellStyle name="Normal 9 3 9 2" xfId="6956" xr:uid="{00000000-0005-0000-0000-000047200000}"/>
    <cellStyle name="Normal 9 3 9 2 2" xfId="16238" xr:uid="{38CFFA95-E59A-427B-A6A8-5AC807B4D9A7}"/>
    <cellStyle name="Normal 9 3 9 3" xfId="12021" xr:uid="{C5C869EE-A50F-415E-9862-74970E6F0E74}"/>
    <cellStyle name="Normal 9 4" xfId="535" xr:uid="{00000000-0005-0000-0000-000048200000}"/>
    <cellStyle name="Normal 9 4 2" xfId="1002" xr:uid="{00000000-0005-0000-0000-000049200000}"/>
    <cellStyle name="Normal 9 5" xfId="536" xr:uid="{00000000-0005-0000-0000-00004A200000}"/>
    <cellStyle name="Normal 9 5 10" xfId="9130" xr:uid="{AB306A9D-30D4-4545-9761-2AD54CF9DBCE}"/>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40" xr:uid="{839E3980-2FA6-444E-9B16-641C3F1531C8}"/>
    <cellStyle name="Normal 9 5 2 2 2 3" xfId="12523" xr:uid="{F26B0428-B7ED-47D6-B7EF-E392DA1850E0}"/>
    <cellStyle name="Normal 9 5 2 2 3" xfId="5313" xr:uid="{00000000-0005-0000-0000-00004F200000}"/>
    <cellStyle name="Normal 9 5 2 2 3 2" xfId="14595" xr:uid="{CAA11E60-B1FE-4940-A760-75A068FAA18C}"/>
    <cellStyle name="Normal 9 5 2 2 4" xfId="10378" xr:uid="{FFDAF47B-4562-4B3E-A0AD-8C502CBA6471}"/>
    <cellStyle name="Normal 9 5 2 2 5" xfId="9550" xr:uid="{A85C4363-0734-4D74-A3F9-64745F16FB98}"/>
    <cellStyle name="Normal 9 5 2 3" xfId="1419" xr:uid="{00000000-0005-0000-0000-000050200000}"/>
    <cellStyle name="Normal 9 5 2 3 2" xfId="3649" xr:uid="{00000000-0005-0000-0000-000051200000}"/>
    <cellStyle name="Normal 9 5 2 3 2 2" xfId="7871" xr:uid="{00000000-0005-0000-0000-000052200000}"/>
    <cellStyle name="Normal 9 5 2 3 2 2 2" xfId="17153" xr:uid="{40A7A2AD-7432-439E-A10E-87B6E61D7D18}"/>
    <cellStyle name="Normal 9 5 2 3 2 3" xfId="12936" xr:uid="{5EFBD6C5-91A3-402C-8BA1-8F24DA5F46D8}"/>
    <cellStyle name="Normal 9 5 2 3 3" xfId="5726" xr:uid="{00000000-0005-0000-0000-000053200000}"/>
    <cellStyle name="Normal 9 5 2 3 3 2" xfId="15008" xr:uid="{0CD143CD-2AA6-40C3-A6D2-F1B4567F01C7}"/>
    <cellStyle name="Normal 9 5 2 3 4" xfId="10791" xr:uid="{457DF055-0985-4FD1-9724-28267E2C4309}"/>
    <cellStyle name="Normal 9 5 2 4" xfId="1832" xr:uid="{00000000-0005-0000-0000-000054200000}"/>
    <cellStyle name="Normal 9 5 2 4 2" xfId="4062" xr:uid="{00000000-0005-0000-0000-000055200000}"/>
    <cellStyle name="Normal 9 5 2 4 2 2" xfId="8284" xr:uid="{00000000-0005-0000-0000-000056200000}"/>
    <cellStyle name="Normal 9 5 2 4 2 2 2" xfId="17566" xr:uid="{EBBE1DC5-BF97-4194-B8D3-D3B108530B2F}"/>
    <cellStyle name="Normal 9 5 2 4 2 3" xfId="13349" xr:uid="{B3E28424-C9AE-40E7-9E3B-EE5588887029}"/>
    <cellStyle name="Normal 9 5 2 4 3" xfId="6139" xr:uid="{00000000-0005-0000-0000-000057200000}"/>
    <cellStyle name="Normal 9 5 2 4 3 2" xfId="15421" xr:uid="{1BDD711F-1C92-4060-99CB-F3855EDE4AE0}"/>
    <cellStyle name="Normal 9 5 2 4 4" xfId="11204" xr:uid="{32BE8C8E-C03A-4423-9E4F-5BC7286F4C3F}"/>
    <cellStyle name="Normal 9 5 2 5" xfId="2246" xr:uid="{00000000-0005-0000-0000-000058200000}"/>
    <cellStyle name="Normal 9 5 2 5 2" xfId="4475" xr:uid="{00000000-0005-0000-0000-000059200000}"/>
    <cellStyle name="Normal 9 5 2 5 2 2" xfId="8697" xr:uid="{00000000-0005-0000-0000-00005A200000}"/>
    <cellStyle name="Normal 9 5 2 5 2 2 2" xfId="17979" xr:uid="{F55545A7-7429-406D-BC8D-071218B4DD61}"/>
    <cellStyle name="Normal 9 5 2 5 2 3" xfId="13762" xr:uid="{5622DAC2-EFF9-4F9C-9863-F549B1FFFA45}"/>
    <cellStyle name="Normal 9 5 2 5 3" xfId="6552" xr:uid="{00000000-0005-0000-0000-00005B200000}"/>
    <cellStyle name="Normal 9 5 2 5 3 2" xfId="15834" xr:uid="{56BDDEB3-B273-4B80-81C7-FF327B1F756E}"/>
    <cellStyle name="Normal 9 5 2 5 4" xfId="11617" xr:uid="{63C5BC09-FBC9-4AE9-BF46-34BACE1B4E2F}"/>
    <cellStyle name="Normal 9 5 2 6" xfId="2682" xr:uid="{00000000-0005-0000-0000-00005C200000}"/>
    <cellStyle name="Normal 9 5 2 6 2" xfId="6965" xr:uid="{00000000-0005-0000-0000-00005D200000}"/>
    <cellStyle name="Normal 9 5 2 6 2 2" xfId="16247" xr:uid="{75E02407-3328-49C6-B216-51DB99F2D833}"/>
    <cellStyle name="Normal 9 5 2 6 3" xfId="12030" xr:uid="{99F81E3F-9865-435F-B648-ACF2155D0D1A}"/>
    <cellStyle name="Normal 9 5 2 7" xfId="4900" xr:uid="{00000000-0005-0000-0000-00005E200000}"/>
    <cellStyle name="Normal 9 5 2 7 2" xfId="14182" xr:uid="{91EB87A4-93DA-4419-9783-DB88BBACCE54}"/>
    <cellStyle name="Normal 9 5 2 8" xfId="9965" xr:uid="{514F6997-DCFB-45C8-9651-490106DCD968}"/>
    <cellStyle name="Normal 9 5 2 9" xfId="9131" xr:uid="{74CF4DF0-C7F2-4C0A-9C04-86B7891A0695}"/>
    <cellStyle name="Normal 9 5 3" xfId="1003" xr:uid="{00000000-0005-0000-0000-00005F200000}"/>
    <cellStyle name="Normal 9 5 3 2" xfId="3235" xr:uid="{00000000-0005-0000-0000-000060200000}"/>
    <cellStyle name="Normal 9 5 3 2 2" xfId="7457" xr:uid="{00000000-0005-0000-0000-000061200000}"/>
    <cellStyle name="Normal 9 5 3 2 2 2" xfId="16739" xr:uid="{C640923E-9A8D-47DA-A3CB-5C1E00AB3A06}"/>
    <cellStyle name="Normal 9 5 3 2 3" xfId="12522" xr:uid="{E2554014-47ED-4B6C-8987-6F7140DF050F}"/>
    <cellStyle name="Normal 9 5 3 3" xfId="5312" xr:uid="{00000000-0005-0000-0000-000062200000}"/>
    <cellStyle name="Normal 9 5 3 3 2" xfId="14594" xr:uid="{0C965322-6E89-40B2-BC81-6BF5F255A8BD}"/>
    <cellStyle name="Normal 9 5 3 4" xfId="10377" xr:uid="{7B72043D-4874-488B-B51B-71EEA1E5590B}"/>
    <cellStyle name="Normal 9 5 3 5" xfId="9549" xr:uid="{AE9A6D3A-B8EA-4CA9-81EE-A8C35125F25E}"/>
    <cellStyle name="Normal 9 5 4" xfId="1418" xr:uid="{00000000-0005-0000-0000-000063200000}"/>
    <cellStyle name="Normal 9 5 4 2" xfId="3648" xr:uid="{00000000-0005-0000-0000-000064200000}"/>
    <cellStyle name="Normal 9 5 4 2 2" xfId="7870" xr:uid="{00000000-0005-0000-0000-000065200000}"/>
    <cellStyle name="Normal 9 5 4 2 2 2" xfId="17152" xr:uid="{05ADB144-D19A-4EB3-A08A-BEBCC6B2C4B8}"/>
    <cellStyle name="Normal 9 5 4 2 3" xfId="12935" xr:uid="{0BD4C7D9-48DE-4025-B2CA-1C63EDA33004}"/>
    <cellStyle name="Normal 9 5 4 3" xfId="5725" xr:uid="{00000000-0005-0000-0000-000066200000}"/>
    <cellStyle name="Normal 9 5 4 3 2" xfId="15007" xr:uid="{4A3889E4-FE3E-44FA-B19E-10FC7C02596F}"/>
    <cellStyle name="Normal 9 5 4 4" xfId="10790" xr:uid="{F29F82E2-2F53-4387-A459-673E2C4EC6DD}"/>
    <cellStyle name="Normal 9 5 5" xfId="1831" xr:uid="{00000000-0005-0000-0000-000067200000}"/>
    <cellStyle name="Normal 9 5 5 2" xfId="4061" xr:uid="{00000000-0005-0000-0000-000068200000}"/>
    <cellStyle name="Normal 9 5 5 2 2" xfId="8283" xr:uid="{00000000-0005-0000-0000-000069200000}"/>
    <cellStyle name="Normal 9 5 5 2 2 2" xfId="17565" xr:uid="{A504DE7C-1351-4587-9994-B04818386C2F}"/>
    <cellStyle name="Normal 9 5 5 2 3" xfId="13348" xr:uid="{18CC47C0-C7F6-4BB5-847A-3B3E2E6E0EB4}"/>
    <cellStyle name="Normal 9 5 5 3" xfId="6138" xr:uid="{00000000-0005-0000-0000-00006A200000}"/>
    <cellStyle name="Normal 9 5 5 3 2" xfId="15420" xr:uid="{BA7BCC84-77BC-4DD3-80DE-CE6526FE1113}"/>
    <cellStyle name="Normal 9 5 5 4" xfId="11203" xr:uid="{70D60975-3053-4DED-99E1-9B6251574C19}"/>
    <cellStyle name="Normal 9 5 6" xfId="2245" xr:uid="{00000000-0005-0000-0000-00006B200000}"/>
    <cellStyle name="Normal 9 5 6 2" xfId="4474" xr:uid="{00000000-0005-0000-0000-00006C200000}"/>
    <cellStyle name="Normal 9 5 6 2 2" xfId="8696" xr:uid="{00000000-0005-0000-0000-00006D200000}"/>
    <cellStyle name="Normal 9 5 6 2 2 2" xfId="17978" xr:uid="{E57459BD-2971-454D-AD66-36326AF91F0F}"/>
    <cellStyle name="Normal 9 5 6 2 3" xfId="13761" xr:uid="{501F8722-BA95-4171-B34E-DF1380AA36C1}"/>
    <cellStyle name="Normal 9 5 6 3" xfId="6551" xr:uid="{00000000-0005-0000-0000-00006E200000}"/>
    <cellStyle name="Normal 9 5 6 3 2" xfId="15833" xr:uid="{4C8DFF6A-FB64-42C9-9B94-C54187F809AA}"/>
    <cellStyle name="Normal 9 5 6 4" xfId="11616" xr:uid="{F0705028-8C7D-4BD3-990B-CADEB6A24850}"/>
    <cellStyle name="Normal 9 5 7" xfId="2681" xr:uid="{00000000-0005-0000-0000-00006F200000}"/>
    <cellStyle name="Normal 9 5 7 2" xfId="6964" xr:uid="{00000000-0005-0000-0000-000070200000}"/>
    <cellStyle name="Normal 9 5 7 2 2" xfId="16246" xr:uid="{CAF30FD7-5828-413D-AC5D-3515EBB8397F}"/>
    <cellStyle name="Normal 9 5 7 3" xfId="12029" xr:uid="{D7AE7782-6297-43D7-B7F1-BB864F095446}"/>
    <cellStyle name="Normal 9 5 8" xfId="4899" xr:uid="{00000000-0005-0000-0000-000071200000}"/>
    <cellStyle name="Normal 9 5 8 2" xfId="14181" xr:uid="{E5217917-7D4D-48B3-A2E2-F7F33DB1C2EF}"/>
    <cellStyle name="Normal 9 5 9" xfId="9964" xr:uid="{A89B79D9-2F33-4317-9C7F-649A6DF6449B}"/>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41" xr:uid="{D165CE32-AC5F-48A4-9DF2-D1A1AD717C0B}"/>
    <cellStyle name="Normal 9 6 2 2 3" xfId="12524" xr:uid="{661FC770-24EF-479D-B476-9FF033711BFC}"/>
    <cellStyle name="Normal 9 6 2 3" xfId="5314" xr:uid="{00000000-0005-0000-0000-000076200000}"/>
    <cellStyle name="Normal 9 6 2 3 2" xfId="14596" xr:uid="{00C94EB7-DF21-4707-9E76-D1C1DC0056AD}"/>
    <cellStyle name="Normal 9 6 2 4" xfId="10379" xr:uid="{FE5C9763-085E-4144-80D5-84607D33A6C4}"/>
    <cellStyle name="Normal 9 6 2 5" xfId="9551" xr:uid="{F7D82F2E-DC56-4B12-98B4-ECDD60EB1EC7}"/>
    <cellStyle name="Normal 9 6 3" xfId="1420" xr:uid="{00000000-0005-0000-0000-000077200000}"/>
    <cellStyle name="Normal 9 6 3 2" xfId="3650" xr:uid="{00000000-0005-0000-0000-000078200000}"/>
    <cellStyle name="Normal 9 6 3 2 2" xfId="7872" xr:uid="{00000000-0005-0000-0000-000079200000}"/>
    <cellStyle name="Normal 9 6 3 2 2 2" xfId="17154" xr:uid="{D838663B-24B3-4D94-8149-4B013EEDAB51}"/>
    <cellStyle name="Normal 9 6 3 2 3" xfId="12937" xr:uid="{85983C66-B34C-427A-BAEB-7B4D4D4D297F}"/>
    <cellStyle name="Normal 9 6 3 3" xfId="5727" xr:uid="{00000000-0005-0000-0000-00007A200000}"/>
    <cellStyle name="Normal 9 6 3 3 2" xfId="15009" xr:uid="{69DEE4A8-176B-40F5-A01E-817CDBD3D0F7}"/>
    <cellStyle name="Normal 9 6 3 4" xfId="10792" xr:uid="{CB1F8745-0A74-4676-A955-1B61AF25C4A4}"/>
    <cellStyle name="Normal 9 6 4" xfId="1833" xr:uid="{00000000-0005-0000-0000-00007B200000}"/>
    <cellStyle name="Normal 9 6 4 2" xfId="4063" xr:uid="{00000000-0005-0000-0000-00007C200000}"/>
    <cellStyle name="Normal 9 6 4 2 2" xfId="8285" xr:uid="{00000000-0005-0000-0000-00007D200000}"/>
    <cellStyle name="Normal 9 6 4 2 2 2" xfId="17567" xr:uid="{8DE9AAD3-A9A9-4D26-A22C-C8A4D52E65D8}"/>
    <cellStyle name="Normal 9 6 4 2 3" xfId="13350" xr:uid="{1C84072A-88D4-4BD7-8571-A9D894F7D654}"/>
    <cellStyle name="Normal 9 6 4 3" xfId="6140" xr:uid="{00000000-0005-0000-0000-00007E200000}"/>
    <cellStyle name="Normal 9 6 4 3 2" xfId="15422" xr:uid="{6EA7FA30-61E9-43C8-A4B8-B04D95B8AF65}"/>
    <cellStyle name="Normal 9 6 4 4" xfId="11205" xr:uid="{6BBA29BD-6D44-46C1-B111-59576CE26A69}"/>
    <cellStyle name="Normal 9 6 5" xfId="2247" xr:uid="{00000000-0005-0000-0000-00007F200000}"/>
    <cellStyle name="Normal 9 6 5 2" xfId="4476" xr:uid="{00000000-0005-0000-0000-000080200000}"/>
    <cellStyle name="Normal 9 6 5 2 2" xfId="8698" xr:uid="{00000000-0005-0000-0000-000081200000}"/>
    <cellStyle name="Normal 9 6 5 2 2 2" xfId="17980" xr:uid="{062A7213-B748-49AB-9D2A-2F758B0AB453}"/>
    <cellStyle name="Normal 9 6 5 2 3" xfId="13763" xr:uid="{CB5B380D-AF22-4C0A-BB23-C39597D752FD}"/>
    <cellStyle name="Normal 9 6 5 3" xfId="6553" xr:uid="{00000000-0005-0000-0000-000082200000}"/>
    <cellStyle name="Normal 9 6 5 3 2" xfId="15835" xr:uid="{B1D3879E-7B80-497A-BA28-0AC02C53205E}"/>
    <cellStyle name="Normal 9 6 5 4" xfId="11618" xr:uid="{12902908-EF73-4B7D-B394-9EAB3498D55B}"/>
    <cellStyle name="Normal 9 6 6" xfId="2683" xr:uid="{00000000-0005-0000-0000-000083200000}"/>
    <cellStyle name="Normal 9 6 6 2" xfId="6966" xr:uid="{00000000-0005-0000-0000-000084200000}"/>
    <cellStyle name="Normal 9 6 6 2 2" xfId="16248" xr:uid="{A0A1012E-E30C-4671-9F46-DBEF00F89F18}"/>
    <cellStyle name="Normal 9 6 6 3" xfId="12031" xr:uid="{969E591C-E159-496F-AE80-A729F10BB53C}"/>
    <cellStyle name="Normal 9 6 7" xfId="4901" xr:uid="{00000000-0005-0000-0000-000085200000}"/>
    <cellStyle name="Normal 9 6 7 2" xfId="14183" xr:uid="{7B5488F8-B737-47F6-A519-E967EB865AE1}"/>
    <cellStyle name="Normal 9 6 8" xfId="9966" xr:uid="{20FB45FC-5754-44B1-8F69-C56049E6C0AD}"/>
    <cellStyle name="Normal 9 6 9" xfId="9132" xr:uid="{C3BF0FDE-9AA9-4888-997C-E3C8BB24E22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29" xr:uid="{73A00827-E37E-4603-A1B8-E0BD47FDDE26}"/>
    <cellStyle name="Note 2 2 10 3" xfId="12112" xr:uid="{F19DEFEB-A19A-453B-913A-9C0BE9BF86B5}"/>
    <cellStyle name="Note 2 2 11" xfId="4902" xr:uid="{00000000-0005-0000-0000-000094200000}"/>
    <cellStyle name="Note 2 2 11 2" xfId="14184" xr:uid="{37553713-91AE-47ED-B787-2EE4C4293C1F}"/>
    <cellStyle name="Note 2 2 12" xfId="9967" xr:uid="{176ABC30-4FDE-4FDF-A29D-A785D622173A}"/>
    <cellStyle name="Note 2 2 13" xfId="9133" xr:uid="{3E4C4F00-173A-4395-83E3-17C93ADD3308}"/>
    <cellStyle name="Note 2 2 2" xfId="546" xr:uid="{00000000-0005-0000-0000-000095200000}"/>
    <cellStyle name="Note 2 2 2 10" xfId="4903" xr:uid="{00000000-0005-0000-0000-000096200000}"/>
    <cellStyle name="Note 2 2 2 10 2" xfId="14185" xr:uid="{C1FFCE59-7A55-4B9A-BA76-2194F72FA6E0}"/>
    <cellStyle name="Note 2 2 2 11" xfId="9968" xr:uid="{91CADDF4-C111-4395-8B09-7EE2CD326BE0}"/>
    <cellStyle name="Note 2 2 2 12" xfId="9134" xr:uid="{35A85A5E-5C38-4139-B3B2-CF0F1837DAC0}"/>
    <cellStyle name="Note 2 2 2 2" xfId="547" xr:uid="{00000000-0005-0000-0000-000097200000}"/>
    <cellStyle name="Note 2 2 2 2 10" xfId="9969" xr:uid="{F7E7D732-DA29-4317-AE26-2440B7AFB463}"/>
    <cellStyle name="Note 2 2 2 2 11" xfId="9135" xr:uid="{CF24E1B9-B5A4-4341-B54C-BDDE625C3B8C}"/>
    <cellStyle name="Note 2 2 2 2 2" xfId="1008" xr:uid="{00000000-0005-0000-0000-000098200000}"/>
    <cellStyle name="Note 2 2 2 2 2 2" xfId="3240" xr:uid="{00000000-0005-0000-0000-000099200000}"/>
    <cellStyle name="Note 2 2 2 2 2 2 2" xfId="7462" xr:uid="{00000000-0005-0000-0000-00009A200000}"/>
    <cellStyle name="Note 2 2 2 2 2 2 2 2" xfId="16744" xr:uid="{4F5B0E58-B048-4022-96FC-7EB02F95BA4A}"/>
    <cellStyle name="Note 2 2 2 2 2 2 3" xfId="12527" xr:uid="{FC6C73BD-B531-49E9-995B-92218B79C7D1}"/>
    <cellStyle name="Note 2 2 2 2 2 3" xfId="5317" xr:uid="{00000000-0005-0000-0000-00009B200000}"/>
    <cellStyle name="Note 2 2 2 2 2 3 2" xfId="14599" xr:uid="{4868AFEB-131F-4089-B273-15E0B841EB18}"/>
    <cellStyle name="Note 2 2 2 2 2 4" xfId="10382" xr:uid="{1BAAAC0B-93D8-4AB0-8010-10CC4CD02A40}"/>
    <cellStyle name="Note 2 2 2 2 2 5" xfId="9554" xr:uid="{2EEDC0E6-68C5-4410-B77A-36E433541495}"/>
    <cellStyle name="Note 2 2 2 2 3" xfId="1423" xr:uid="{00000000-0005-0000-0000-00009C200000}"/>
    <cellStyle name="Note 2 2 2 2 3 2" xfId="3653" xr:uid="{00000000-0005-0000-0000-00009D200000}"/>
    <cellStyle name="Note 2 2 2 2 3 2 2" xfId="7875" xr:uid="{00000000-0005-0000-0000-00009E200000}"/>
    <cellStyle name="Note 2 2 2 2 3 2 2 2" xfId="17157" xr:uid="{568F8211-E936-4ECF-B347-D81F0F6E999F}"/>
    <cellStyle name="Note 2 2 2 2 3 2 3" xfId="12940" xr:uid="{1D12E476-F66C-4E4D-90CF-6487CF59B131}"/>
    <cellStyle name="Note 2 2 2 2 3 3" xfId="5730" xr:uid="{00000000-0005-0000-0000-00009F200000}"/>
    <cellStyle name="Note 2 2 2 2 3 3 2" xfId="15012" xr:uid="{7C318BC9-AECE-40F7-A35B-9CE9E9B24FB3}"/>
    <cellStyle name="Note 2 2 2 2 3 4" xfId="10795" xr:uid="{09FBE340-6FB8-4502-96CB-7370CD7F7B65}"/>
    <cellStyle name="Note 2 2 2 2 4" xfId="1837" xr:uid="{00000000-0005-0000-0000-0000A0200000}"/>
    <cellStyle name="Note 2 2 2 2 4 2" xfId="4066" xr:uid="{00000000-0005-0000-0000-0000A1200000}"/>
    <cellStyle name="Note 2 2 2 2 4 2 2" xfId="8288" xr:uid="{00000000-0005-0000-0000-0000A2200000}"/>
    <cellStyle name="Note 2 2 2 2 4 2 2 2" xfId="17570" xr:uid="{32CD6F98-BDEE-4A9E-8304-592493C90F2A}"/>
    <cellStyle name="Note 2 2 2 2 4 2 3" xfId="13353" xr:uid="{A68B87A5-83C8-419C-9E29-5E34C85BBCB6}"/>
    <cellStyle name="Note 2 2 2 2 4 3" xfId="6143" xr:uid="{00000000-0005-0000-0000-0000A3200000}"/>
    <cellStyle name="Note 2 2 2 2 4 3 2" xfId="15425" xr:uid="{7545EC58-ECD3-4A6C-9663-CAF0A1A701E0}"/>
    <cellStyle name="Note 2 2 2 2 4 4" xfId="11208" xr:uid="{1219A111-2973-48BD-9B89-EF0C022E45C7}"/>
    <cellStyle name="Note 2 2 2 2 5" xfId="2250" xr:uid="{00000000-0005-0000-0000-0000A4200000}"/>
    <cellStyle name="Note 2 2 2 2 5 2" xfId="4479" xr:uid="{00000000-0005-0000-0000-0000A5200000}"/>
    <cellStyle name="Note 2 2 2 2 5 2 2" xfId="8701" xr:uid="{00000000-0005-0000-0000-0000A6200000}"/>
    <cellStyle name="Note 2 2 2 2 5 2 2 2" xfId="17983" xr:uid="{200AE5C8-31B1-49B1-B632-768EFE221670}"/>
    <cellStyle name="Note 2 2 2 2 5 2 3" xfId="13766" xr:uid="{19225690-D285-4013-9230-C73168B1CA0B}"/>
    <cellStyle name="Note 2 2 2 2 5 3" xfId="6556" xr:uid="{00000000-0005-0000-0000-0000A7200000}"/>
    <cellStyle name="Note 2 2 2 2 5 3 2" xfId="15838" xr:uid="{AC57DE87-BE33-4A48-8730-6A3171362BF7}"/>
    <cellStyle name="Note 2 2 2 2 5 4" xfId="11621" xr:uid="{880C2841-BFAC-4AEC-9909-E23C44C29F33}"/>
    <cellStyle name="Note 2 2 2 2 6" xfId="2686" xr:uid="{00000000-0005-0000-0000-0000A8200000}"/>
    <cellStyle name="Note 2 2 2 2 6 2" xfId="6969" xr:uid="{00000000-0005-0000-0000-0000A9200000}"/>
    <cellStyle name="Note 2 2 2 2 6 2 2" xfId="16251" xr:uid="{DA7DFDC9-536E-4C8E-BAD8-24EC17AB70B8}"/>
    <cellStyle name="Note 2 2 2 2 6 3" xfId="12034" xr:uid="{A5C0C178-6AF4-4423-91D7-B0860BC2AF5E}"/>
    <cellStyle name="Note 2 2 2 2 7" xfId="2745" xr:uid="{00000000-0005-0000-0000-0000AA200000}"/>
    <cellStyle name="Note 2 2 2 2 8" xfId="2826" xr:uid="{00000000-0005-0000-0000-0000AB200000}"/>
    <cellStyle name="Note 2 2 2 2 8 2" xfId="7049" xr:uid="{00000000-0005-0000-0000-0000AC200000}"/>
    <cellStyle name="Note 2 2 2 2 8 2 2" xfId="16331" xr:uid="{DD93BEE3-D8AC-4029-BE69-46693E7BB9CB}"/>
    <cellStyle name="Note 2 2 2 2 8 3" xfId="12114" xr:uid="{6E80D1FD-2E12-4874-98C7-6E88B6833936}"/>
    <cellStyle name="Note 2 2 2 2 9" xfId="4904" xr:uid="{00000000-0005-0000-0000-0000AD200000}"/>
    <cellStyle name="Note 2 2 2 2 9 2" xfId="14186" xr:uid="{19CA1A4C-C5F7-41AF-8B6C-1FAEB28E310B}"/>
    <cellStyle name="Note 2 2 2 3" xfId="1007" xr:uid="{00000000-0005-0000-0000-0000AE200000}"/>
    <cellStyle name="Note 2 2 2 3 2" xfId="3239" xr:uid="{00000000-0005-0000-0000-0000AF200000}"/>
    <cellStyle name="Note 2 2 2 3 2 2" xfId="7461" xr:uid="{00000000-0005-0000-0000-0000B0200000}"/>
    <cellStyle name="Note 2 2 2 3 2 2 2" xfId="16743" xr:uid="{E3B4D246-07BE-44F7-A3C6-E58F6DA38A1B}"/>
    <cellStyle name="Note 2 2 2 3 2 3" xfId="12526" xr:uid="{FF8ECCED-9968-4087-AAC5-93899CEF1152}"/>
    <cellStyle name="Note 2 2 2 3 3" xfId="5316" xr:uid="{00000000-0005-0000-0000-0000B1200000}"/>
    <cellStyle name="Note 2 2 2 3 3 2" xfId="14598" xr:uid="{4DAAC8EA-9E29-40FA-8D70-9508424D1124}"/>
    <cellStyle name="Note 2 2 2 3 4" xfId="10381" xr:uid="{BF98B7E3-1B2B-421B-89A8-D3B436BA75E9}"/>
    <cellStyle name="Note 2 2 2 3 5" xfId="9553" xr:uid="{352DC0FF-BF4F-4AF6-84C5-427FCBFD85A0}"/>
    <cellStyle name="Note 2 2 2 4" xfId="1422" xr:uid="{00000000-0005-0000-0000-0000B2200000}"/>
    <cellStyle name="Note 2 2 2 4 2" xfId="3652" xr:uid="{00000000-0005-0000-0000-0000B3200000}"/>
    <cellStyle name="Note 2 2 2 4 2 2" xfId="7874" xr:uid="{00000000-0005-0000-0000-0000B4200000}"/>
    <cellStyle name="Note 2 2 2 4 2 2 2" xfId="17156" xr:uid="{A074620F-EF95-4DDE-B99A-A225326E2271}"/>
    <cellStyle name="Note 2 2 2 4 2 3" xfId="12939" xr:uid="{09446DB7-2551-4FD8-A854-5BA517CC4ED4}"/>
    <cellStyle name="Note 2 2 2 4 3" xfId="5729" xr:uid="{00000000-0005-0000-0000-0000B5200000}"/>
    <cellStyle name="Note 2 2 2 4 3 2" xfId="15011" xr:uid="{6D9860A1-4E99-47E3-881C-6E4A64BDFDD7}"/>
    <cellStyle name="Note 2 2 2 4 4" xfId="10794" xr:uid="{F7007390-FACA-4467-B016-B31F49E7E0D6}"/>
    <cellStyle name="Note 2 2 2 5" xfId="1836" xr:uid="{00000000-0005-0000-0000-0000B6200000}"/>
    <cellStyle name="Note 2 2 2 5 2" xfId="4065" xr:uid="{00000000-0005-0000-0000-0000B7200000}"/>
    <cellStyle name="Note 2 2 2 5 2 2" xfId="8287" xr:uid="{00000000-0005-0000-0000-0000B8200000}"/>
    <cellStyle name="Note 2 2 2 5 2 2 2" xfId="17569" xr:uid="{D91E9061-8110-42F8-B6A6-56D7941C17FF}"/>
    <cellStyle name="Note 2 2 2 5 2 3" xfId="13352" xr:uid="{9F68544F-E468-4949-9E89-A190F220A3FF}"/>
    <cellStyle name="Note 2 2 2 5 3" xfId="6142" xr:uid="{00000000-0005-0000-0000-0000B9200000}"/>
    <cellStyle name="Note 2 2 2 5 3 2" xfId="15424" xr:uid="{F9867A82-331F-4831-89BE-C8A106863843}"/>
    <cellStyle name="Note 2 2 2 5 4" xfId="11207" xr:uid="{7F5AAC65-3162-468C-9D06-5D9C4015FFB2}"/>
    <cellStyle name="Note 2 2 2 6" xfId="2249" xr:uid="{00000000-0005-0000-0000-0000BA200000}"/>
    <cellStyle name="Note 2 2 2 6 2" xfId="4478" xr:uid="{00000000-0005-0000-0000-0000BB200000}"/>
    <cellStyle name="Note 2 2 2 6 2 2" xfId="8700" xr:uid="{00000000-0005-0000-0000-0000BC200000}"/>
    <cellStyle name="Note 2 2 2 6 2 2 2" xfId="17982" xr:uid="{5623773E-E073-4DA3-97BC-8BEFE5DFC835}"/>
    <cellStyle name="Note 2 2 2 6 2 3" xfId="13765" xr:uid="{7D580D5A-8BBB-41F7-9770-7DF8040239F4}"/>
    <cellStyle name="Note 2 2 2 6 3" xfId="6555" xr:uid="{00000000-0005-0000-0000-0000BD200000}"/>
    <cellStyle name="Note 2 2 2 6 3 2" xfId="15837" xr:uid="{600212C9-D645-4657-9E26-2728E6D1FD4F}"/>
    <cellStyle name="Note 2 2 2 6 4" xfId="11620" xr:uid="{99672DE8-0468-422C-905A-4ECF45EEEB45}"/>
    <cellStyle name="Note 2 2 2 7" xfId="2685" xr:uid="{00000000-0005-0000-0000-0000BE200000}"/>
    <cellStyle name="Note 2 2 2 7 2" xfId="6968" xr:uid="{00000000-0005-0000-0000-0000BF200000}"/>
    <cellStyle name="Note 2 2 2 7 2 2" xfId="16250" xr:uid="{9566BBC9-FB75-4A28-91D0-F55947CB5E0F}"/>
    <cellStyle name="Note 2 2 2 7 3" xfId="12033" xr:uid="{0E3509F8-B5E1-4512-B22D-66FA480297A2}"/>
    <cellStyle name="Note 2 2 2 8" xfId="2744" xr:uid="{00000000-0005-0000-0000-0000C0200000}"/>
    <cellStyle name="Note 2 2 2 9" xfId="2825" xr:uid="{00000000-0005-0000-0000-0000C1200000}"/>
    <cellStyle name="Note 2 2 2 9 2" xfId="7048" xr:uid="{00000000-0005-0000-0000-0000C2200000}"/>
    <cellStyle name="Note 2 2 2 9 2 2" xfId="16330" xr:uid="{B1BF1C53-81C6-4210-815A-042733E7106C}"/>
    <cellStyle name="Note 2 2 2 9 3" xfId="12113" xr:uid="{A275F9D7-7AD8-40CC-9A94-D4DEB7FFD125}"/>
    <cellStyle name="Note 2 2 3" xfId="548" xr:uid="{00000000-0005-0000-0000-0000C3200000}"/>
    <cellStyle name="Note 2 2 3 10" xfId="9970" xr:uid="{37422C52-70EB-4306-85A3-CFA18821FFDF}"/>
    <cellStyle name="Note 2 2 3 11" xfId="9136" xr:uid="{98B2AA25-3EB1-45C0-84B7-D331B2683CC7}"/>
    <cellStyle name="Note 2 2 3 2" xfId="1009" xr:uid="{00000000-0005-0000-0000-0000C4200000}"/>
    <cellStyle name="Note 2 2 3 2 2" xfId="3241" xr:uid="{00000000-0005-0000-0000-0000C5200000}"/>
    <cellStyle name="Note 2 2 3 2 2 2" xfId="7463" xr:uid="{00000000-0005-0000-0000-0000C6200000}"/>
    <cellStyle name="Note 2 2 3 2 2 2 2" xfId="16745" xr:uid="{AF788A49-816F-48C6-AE80-5DC42744C232}"/>
    <cellStyle name="Note 2 2 3 2 2 3" xfId="12528" xr:uid="{EABE16D5-E4C9-4B26-8C59-C8DD26E36686}"/>
    <cellStyle name="Note 2 2 3 2 3" xfId="5318" xr:uid="{00000000-0005-0000-0000-0000C7200000}"/>
    <cellStyle name="Note 2 2 3 2 3 2" xfId="14600" xr:uid="{7A792182-796D-4A30-9F40-67F8A38F81CF}"/>
    <cellStyle name="Note 2 2 3 2 4" xfId="10383" xr:uid="{A4390E5B-BF47-4B25-953F-26E65CDA2E07}"/>
    <cellStyle name="Note 2 2 3 2 5" xfId="9555" xr:uid="{5FE02D39-E4D1-4136-9D33-9C6D081CC0ED}"/>
    <cellStyle name="Note 2 2 3 3" xfId="1424" xr:uid="{00000000-0005-0000-0000-0000C8200000}"/>
    <cellStyle name="Note 2 2 3 3 2" xfId="3654" xr:uid="{00000000-0005-0000-0000-0000C9200000}"/>
    <cellStyle name="Note 2 2 3 3 2 2" xfId="7876" xr:uid="{00000000-0005-0000-0000-0000CA200000}"/>
    <cellStyle name="Note 2 2 3 3 2 2 2" xfId="17158" xr:uid="{21CF1F83-0090-49CE-A129-8D94979C0640}"/>
    <cellStyle name="Note 2 2 3 3 2 3" xfId="12941" xr:uid="{56E91022-A556-41D7-BEC9-1AE72B47FDD8}"/>
    <cellStyle name="Note 2 2 3 3 3" xfId="5731" xr:uid="{00000000-0005-0000-0000-0000CB200000}"/>
    <cellStyle name="Note 2 2 3 3 3 2" xfId="15013" xr:uid="{71E5F187-C5E4-47A9-9AFA-0A857B8F78B9}"/>
    <cellStyle name="Note 2 2 3 3 4" xfId="10796" xr:uid="{91F31085-C02E-4418-A3FA-DD5E88D364CF}"/>
    <cellStyle name="Note 2 2 3 4" xfId="1838" xr:uid="{00000000-0005-0000-0000-0000CC200000}"/>
    <cellStyle name="Note 2 2 3 4 2" xfId="4067" xr:uid="{00000000-0005-0000-0000-0000CD200000}"/>
    <cellStyle name="Note 2 2 3 4 2 2" xfId="8289" xr:uid="{00000000-0005-0000-0000-0000CE200000}"/>
    <cellStyle name="Note 2 2 3 4 2 2 2" xfId="17571" xr:uid="{117B3762-4CCA-4CCE-9ADC-9BCFA5453327}"/>
    <cellStyle name="Note 2 2 3 4 2 3" xfId="13354" xr:uid="{AECE17DE-3829-4C19-8E14-33BC2703BDA6}"/>
    <cellStyle name="Note 2 2 3 4 3" xfId="6144" xr:uid="{00000000-0005-0000-0000-0000CF200000}"/>
    <cellStyle name="Note 2 2 3 4 3 2" xfId="15426" xr:uid="{622B4852-1D23-4D59-BACA-B2BCEA1517A0}"/>
    <cellStyle name="Note 2 2 3 4 4" xfId="11209" xr:uid="{3C1ABA7C-6646-4101-9D1D-E905B91ECFF5}"/>
    <cellStyle name="Note 2 2 3 5" xfId="2251" xr:uid="{00000000-0005-0000-0000-0000D0200000}"/>
    <cellStyle name="Note 2 2 3 5 2" xfId="4480" xr:uid="{00000000-0005-0000-0000-0000D1200000}"/>
    <cellStyle name="Note 2 2 3 5 2 2" xfId="8702" xr:uid="{00000000-0005-0000-0000-0000D2200000}"/>
    <cellStyle name="Note 2 2 3 5 2 2 2" xfId="17984" xr:uid="{5681695D-F1B6-4B92-B424-BFD41FC47BFA}"/>
    <cellStyle name="Note 2 2 3 5 2 3" xfId="13767" xr:uid="{60C26453-0F4F-43CD-9F86-E1DF023C1FDA}"/>
    <cellStyle name="Note 2 2 3 5 3" xfId="6557" xr:uid="{00000000-0005-0000-0000-0000D3200000}"/>
    <cellStyle name="Note 2 2 3 5 3 2" xfId="15839" xr:uid="{F308DCFC-D345-46C3-BC2C-3BE3FA2EDA08}"/>
    <cellStyle name="Note 2 2 3 5 4" xfId="11622" xr:uid="{304A160B-E790-437E-946D-2E2598F3111D}"/>
    <cellStyle name="Note 2 2 3 6" xfId="2687" xr:uid="{00000000-0005-0000-0000-0000D4200000}"/>
    <cellStyle name="Note 2 2 3 6 2" xfId="6970" xr:uid="{00000000-0005-0000-0000-0000D5200000}"/>
    <cellStyle name="Note 2 2 3 6 2 2" xfId="16252" xr:uid="{C265875B-83A7-44CF-A623-973C6C1D1063}"/>
    <cellStyle name="Note 2 2 3 6 3" xfId="12035" xr:uid="{559C73AE-2867-480B-8E2A-A2E5458A342B}"/>
    <cellStyle name="Note 2 2 3 7" xfId="2746" xr:uid="{00000000-0005-0000-0000-0000D6200000}"/>
    <cellStyle name="Note 2 2 3 8" xfId="2827" xr:uid="{00000000-0005-0000-0000-0000D7200000}"/>
    <cellStyle name="Note 2 2 3 8 2" xfId="7050" xr:uid="{00000000-0005-0000-0000-0000D8200000}"/>
    <cellStyle name="Note 2 2 3 8 2 2" xfId="16332" xr:uid="{5C251F43-FC91-4A00-BC80-235D62021A05}"/>
    <cellStyle name="Note 2 2 3 8 3" xfId="12115" xr:uid="{E15339B5-5556-4673-9EE0-9987BDB82240}"/>
    <cellStyle name="Note 2 2 3 9" xfId="4905" xr:uid="{00000000-0005-0000-0000-0000D9200000}"/>
    <cellStyle name="Note 2 2 3 9 2" xfId="14187" xr:uid="{7385423D-6EED-4DEE-967B-F1DFAA95B4C8}"/>
    <cellStyle name="Note 2 2 4" xfId="1006" xr:uid="{00000000-0005-0000-0000-0000DA200000}"/>
    <cellStyle name="Note 2 2 4 2" xfId="3238" xr:uid="{00000000-0005-0000-0000-0000DB200000}"/>
    <cellStyle name="Note 2 2 4 2 2" xfId="7460" xr:uid="{00000000-0005-0000-0000-0000DC200000}"/>
    <cellStyle name="Note 2 2 4 2 2 2" xfId="16742" xr:uid="{10315FC2-4467-4B04-BA8B-297DA9DBE145}"/>
    <cellStyle name="Note 2 2 4 2 3" xfId="12525" xr:uid="{0FA034C9-B1A5-4C41-B7F4-7D4280D28425}"/>
    <cellStyle name="Note 2 2 4 3" xfId="5315" xr:uid="{00000000-0005-0000-0000-0000DD200000}"/>
    <cellStyle name="Note 2 2 4 3 2" xfId="14597" xr:uid="{C02417C3-71AC-4942-962E-4AFC4DBE7FC7}"/>
    <cellStyle name="Note 2 2 4 4" xfId="10380" xr:uid="{F1306E09-D36D-434E-8E08-071D9B408A45}"/>
    <cellStyle name="Note 2 2 4 5" xfId="9552" xr:uid="{D52CE2B9-BE56-4D5D-922E-77D8A8810034}"/>
    <cellStyle name="Note 2 2 5" xfId="1421" xr:uid="{00000000-0005-0000-0000-0000DE200000}"/>
    <cellStyle name="Note 2 2 5 2" xfId="3651" xr:uid="{00000000-0005-0000-0000-0000DF200000}"/>
    <cellStyle name="Note 2 2 5 2 2" xfId="7873" xr:uid="{00000000-0005-0000-0000-0000E0200000}"/>
    <cellStyle name="Note 2 2 5 2 2 2" xfId="17155" xr:uid="{4722DE24-DB7B-4265-A427-3787E95BC10F}"/>
    <cellStyle name="Note 2 2 5 2 3" xfId="12938" xr:uid="{80C29088-A8ED-4037-93F4-CF30604F0D9B}"/>
    <cellStyle name="Note 2 2 5 3" xfId="5728" xr:uid="{00000000-0005-0000-0000-0000E1200000}"/>
    <cellStyle name="Note 2 2 5 3 2" xfId="15010" xr:uid="{C2D5E207-8CC0-4752-B33D-D099DB48A19C}"/>
    <cellStyle name="Note 2 2 5 4" xfId="10793" xr:uid="{53807FA2-A6ED-4C8D-BACB-053F18AB0100}"/>
    <cellStyle name="Note 2 2 6" xfId="1835" xr:uid="{00000000-0005-0000-0000-0000E2200000}"/>
    <cellStyle name="Note 2 2 6 2" xfId="4064" xr:uid="{00000000-0005-0000-0000-0000E3200000}"/>
    <cellStyle name="Note 2 2 6 2 2" xfId="8286" xr:uid="{00000000-0005-0000-0000-0000E4200000}"/>
    <cellStyle name="Note 2 2 6 2 2 2" xfId="17568" xr:uid="{9A9352E0-085B-47A6-93BF-071C067DDF29}"/>
    <cellStyle name="Note 2 2 6 2 3" xfId="13351" xr:uid="{734E74A3-1DBA-451B-B439-34AD7C64B12F}"/>
    <cellStyle name="Note 2 2 6 3" xfId="6141" xr:uid="{00000000-0005-0000-0000-0000E5200000}"/>
    <cellStyle name="Note 2 2 6 3 2" xfId="15423" xr:uid="{CFC0DD23-4758-43C7-91AA-C418D6DD3A5F}"/>
    <cellStyle name="Note 2 2 6 4" xfId="11206" xr:uid="{34C6E4A7-0877-4577-987B-81ACFBD8C8DE}"/>
    <cellStyle name="Note 2 2 7" xfId="2248" xr:uid="{00000000-0005-0000-0000-0000E6200000}"/>
    <cellStyle name="Note 2 2 7 2" xfId="4477" xr:uid="{00000000-0005-0000-0000-0000E7200000}"/>
    <cellStyle name="Note 2 2 7 2 2" xfId="8699" xr:uid="{00000000-0005-0000-0000-0000E8200000}"/>
    <cellStyle name="Note 2 2 7 2 2 2" xfId="17981" xr:uid="{30EC6DB7-1AF8-49D8-B8CF-B6EA62C3B302}"/>
    <cellStyle name="Note 2 2 7 2 3" xfId="13764" xr:uid="{8EB02911-5DC2-4FD2-AB8D-845FD89FEBFC}"/>
    <cellStyle name="Note 2 2 7 3" xfId="6554" xr:uid="{00000000-0005-0000-0000-0000E9200000}"/>
    <cellStyle name="Note 2 2 7 3 2" xfId="15836" xr:uid="{AA733410-1B96-4F09-AEB6-9CBCC8B24179}"/>
    <cellStyle name="Note 2 2 7 4" xfId="11619" xr:uid="{8B140082-2B27-415E-804B-F2C3D89A3098}"/>
    <cellStyle name="Note 2 2 8" xfId="2684" xr:uid="{00000000-0005-0000-0000-0000EA200000}"/>
    <cellStyle name="Note 2 2 8 2" xfId="6967" xr:uid="{00000000-0005-0000-0000-0000EB200000}"/>
    <cellStyle name="Note 2 2 8 2 2" xfId="16249" xr:uid="{9F870651-8027-48DC-9AAD-1C3E3E1B72E9}"/>
    <cellStyle name="Note 2 2 8 3" xfId="12032" xr:uid="{508B2EC8-56F0-44EF-B570-3602282CEEDA}"/>
    <cellStyle name="Note 2 2 9" xfId="2743" xr:uid="{00000000-0005-0000-0000-0000EC200000}"/>
    <cellStyle name="Note 2 3" xfId="549" xr:uid="{00000000-0005-0000-0000-0000ED200000}"/>
    <cellStyle name="Note 2 3 10" xfId="4906" xr:uid="{00000000-0005-0000-0000-0000EE200000}"/>
    <cellStyle name="Note 2 3 10 2" xfId="14188" xr:uid="{EDCE3CB5-4004-4B35-A66C-C7E2B840533C}"/>
    <cellStyle name="Note 2 3 11" xfId="9971" xr:uid="{7B3CFEEC-94BE-4F79-B34C-E2336800DA6A}"/>
    <cellStyle name="Note 2 3 12" xfId="9137" xr:uid="{F35251C7-BBAC-4512-8F70-5EA788493DA2}"/>
    <cellStyle name="Note 2 3 2" xfId="550" xr:uid="{00000000-0005-0000-0000-0000EF200000}"/>
    <cellStyle name="Note 2 3 2 10" xfId="9972" xr:uid="{CCE7A373-71A1-4079-8148-0C5FBB35669B}"/>
    <cellStyle name="Note 2 3 2 11" xfId="9138" xr:uid="{9C7414C2-7B8F-4494-8172-15037EDC46C4}"/>
    <cellStyle name="Note 2 3 2 2" xfId="1011" xr:uid="{00000000-0005-0000-0000-0000F0200000}"/>
    <cellStyle name="Note 2 3 2 2 2" xfId="3243" xr:uid="{00000000-0005-0000-0000-0000F1200000}"/>
    <cellStyle name="Note 2 3 2 2 2 2" xfId="7465" xr:uid="{00000000-0005-0000-0000-0000F2200000}"/>
    <cellStyle name="Note 2 3 2 2 2 2 2" xfId="16747" xr:uid="{AAF37880-F528-4E4F-86D7-AF5287322744}"/>
    <cellStyle name="Note 2 3 2 2 2 3" xfId="12530" xr:uid="{520BD0CF-4042-4ABE-95D8-2B107DDBBB1A}"/>
    <cellStyle name="Note 2 3 2 2 3" xfId="5320" xr:uid="{00000000-0005-0000-0000-0000F3200000}"/>
    <cellStyle name="Note 2 3 2 2 3 2" xfId="14602" xr:uid="{B4D090BF-121A-42DB-8AF7-EA61827787CD}"/>
    <cellStyle name="Note 2 3 2 2 4" xfId="10385" xr:uid="{49666494-2A93-4E4D-A599-EE9052327826}"/>
    <cellStyle name="Note 2 3 2 2 5" xfId="9557" xr:uid="{A06D4686-5572-4B59-872D-83668A71BE92}"/>
    <cellStyle name="Note 2 3 2 3" xfId="1426" xr:uid="{00000000-0005-0000-0000-0000F4200000}"/>
    <cellStyle name="Note 2 3 2 3 2" xfId="3656" xr:uid="{00000000-0005-0000-0000-0000F5200000}"/>
    <cellStyle name="Note 2 3 2 3 2 2" xfId="7878" xr:uid="{00000000-0005-0000-0000-0000F6200000}"/>
    <cellStyle name="Note 2 3 2 3 2 2 2" xfId="17160" xr:uid="{8B52F75A-B6E2-4F21-9830-618438D4FA0E}"/>
    <cellStyle name="Note 2 3 2 3 2 3" xfId="12943" xr:uid="{A551C0B9-97E1-4F92-BA73-5C09DAEC099D}"/>
    <cellStyle name="Note 2 3 2 3 3" xfId="5733" xr:uid="{00000000-0005-0000-0000-0000F7200000}"/>
    <cellStyle name="Note 2 3 2 3 3 2" xfId="15015" xr:uid="{56E51797-39DC-42C0-B60A-62619302DDD6}"/>
    <cellStyle name="Note 2 3 2 3 4" xfId="10798" xr:uid="{C9861765-0BFD-4E2B-BD99-EC8D700F6CE8}"/>
    <cellStyle name="Note 2 3 2 4" xfId="1840" xr:uid="{00000000-0005-0000-0000-0000F8200000}"/>
    <cellStyle name="Note 2 3 2 4 2" xfId="4069" xr:uid="{00000000-0005-0000-0000-0000F9200000}"/>
    <cellStyle name="Note 2 3 2 4 2 2" xfId="8291" xr:uid="{00000000-0005-0000-0000-0000FA200000}"/>
    <cellStyle name="Note 2 3 2 4 2 2 2" xfId="17573" xr:uid="{3490FF02-C693-4066-98DE-C7A3F9A98D8B}"/>
    <cellStyle name="Note 2 3 2 4 2 3" xfId="13356" xr:uid="{7AD87C21-EC2C-46FB-AB5A-FD7B86771419}"/>
    <cellStyle name="Note 2 3 2 4 3" xfId="6146" xr:uid="{00000000-0005-0000-0000-0000FB200000}"/>
    <cellStyle name="Note 2 3 2 4 3 2" xfId="15428" xr:uid="{8616443D-6692-4354-8E6B-25661C713F7B}"/>
    <cellStyle name="Note 2 3 2 4 4" xfId="11211" xr:uid="{952EDB07-0AD9-4818-89E6-069EC91C674D}"/>
    <cellStyle name="Note 2 3 2 5" xfId="2253" xr:uid="{00000000-0005-0000-0000-0000FC200000}"/>
    <cellStyle name="Note 2 3 2 5 2" xfId="4482" xr:uid="{00000000-0005-0000-0000-0000FD200000}"/>
    <cellStyle name="Note 2 3 2 5 2 2" xfId="8704" xr:uid="{00000000-0005-0000-0000-0000FE200000}"/>
    <cellStyle name="Note 2 3 2 5 2 2 2" xfId="17986" xr:uid="{79B07AD0-3C73-4C10-9388-D16481976333}"/>
    <cellStyle name="Note 2 3 2 5 2 3" xfId="13769" xr:uid="{1412BA85-1479-4DD6-A4B7-18F479F41F9B}"/>
    <cellStyle name="Note 2 3 2 5 3" xfId="6559" xr:uid="{00000000-0005-0000-0000-0000FF200000}"/>
    <cellStyle name="Note 2 3 2 5 3 2" xfId="15841" xr:uid="{FA20B449-B072-401C-838E-6D52AF866193}"/>
    <cellStyle name="Note 2 3 2 5 4" xfId="11624" xr:uid="{C632C758-2524-4E3F-977D-9703DA0A85E5}"/>
    <cellStyle name="Note 2 3 2 6" xfId="2689" xr:uid="{00000000-0005-0000-0000-000000210000}"/>
    <cellStyle name="Note 2 3 2 6 2" xfId="6972" xr:uid="{00000000-0005-0000-0000-000001210000}"/>
    <cellStyle name="Note 2 3 2 6 2 2" xfId="16254" xr:uid="{8E8D540C-6313-48BA-8D35-77B221CD5BE2}"/>
    <cellStyle name="Note 2 3 2 6 3" xfId="12037" xr:uid="{1622D058-C01B-46FD-845D-A9C29915E79A}"/>
    <cellStyle name="Note 2 3 2 7" xfId="2748" xr:uid="{00000000-0005-0000-0000-000002210000}"/>
    <cellStyle name="Note 2 3 2 8" xfId="2829" xr:uid="{00000000-0005-0000-0000-000003210000}"/>
    <cellStyle name="Note 2 3 2 8 2" xfId="7052" xr:uid="{00000000-0005-0000-0000-000004210000}"/>
    <cellStyle name="Note 2 3 2 8 2 2" xfId="16334" xr:uid="{B07EAAEE-ED87-496A-9D04-23B2192B7A70}"/>
    <cellStyle name="Note 2 3 2 8 3" xfId="12117" xr:uid="{A8E0547F-99AC-4065-B40C-127C06088674}"/>
    <cellStyle name="Note 2 3 2 9" xfId="4907" xr:uid="{00000000-0005-0000-0000-000005210000}"/>
    <cellStyle name="Note 2 3 2 9 2" xfId="14189" xr:uid="{A1EEC932-8D82-4E0B-B16B-4BDE0195E729}"/>
    <cellStyle name="Note 2 3 3" xfId="1010" xr:uid="{00000000-0005-0000-0000-000006210000}"/>
    <cellStyle name="Note 2 3 3 2" xfId="3242" xr:uid="{00000000-0005-0000-0000-000007210000}"/>
    <cellStyle name="Note 2 3 3 2 2" xfId="7464" xr:uid="{00000000-0005-0000-0000-000008210000}"/>
    <cellStyle name="Note 2 3 3 2 2 2" xfId="16746" xr:uid="{B87B0D50-F404-44A3-B1C7-D495B2605704}"/>
    <cellStyle name="Note 2 3 3 2 3" xfId="12529" xr:uid="{619D9D2D-6B83-4766-9069-173CF1B3BCE9}"/>
    <cellStyle name="Note 2 3 3 3" xfId="5319" xr:uid="{00000000-0005-0000-0000-000009210000}"/>
    <cellStyle name="Note 2 3 3 3 2" xfId="14601" xr:uid="{E5648572-D48F-4E62-8E10-020D691735FC}"/>
    <cellStyle name="Note 2 3 3 4" xfId="10384" xr:uid="{B85ACC8B-C297-4C59-87A1-F73B8EB0739C}"/>
    <cellStyle name="Note 2 3 3 5" xfId="9556" xr:uid="{A1261B03-B1E3-4615-B045-A204A2CD927C}"/>
    <cellStyle name="Note 2 3 4" xfId="1425" xr:uid="{00000000-0005-0000-0000-00000A210000}"/>
    <cellStyle name="Note 2 3 4 2" xfId="3655" xr:uid="{00000000-0005-0000-0000-00000B210000}"/>
    <cellStyle name="Note 2 3 4 2 2" xfId="7877" xr:uid="{00000000-0005-0000-0000-00000C210000}"/>
    <cellStyle name="Note 2 3 4 2 2 2" xfId="17159" xr:uid="{2BA6964B-1B0F-4966-9158-AA4F9CE55FEB}"/>
    <cellStyle name="Note 2 3 4 2 3" xfId="12942" xr:uid="{21686F0C-963E-491E-A358-5FA2194D2AD8}"/>
    <cellStyle name="Note 2 3 4 3" xfId="5732" xr:uid="{00000000-0005-0000-0000-00000D210000}"/>
    <cellStyle name="Note 2 3 4 3 2" xfId="15014" xr:uid="{F29AF45B-14F9-456E-BDF1-29E204D3D3D5}"/>
    <cellStyle name="Note 2 3 4 4" xfId="10797" xr:uid="{74B0666B-294B-47B3-B058-D799D071B698}"/>
    <cellStyle name="Note 2 3 5" xfId="1839" xr:uid="{00000000-0005-0000-0000-00000E210000}"/>
    <cellStyle name="Note 2 3 5 2" xfId="4068" xr:uid="{00000000-0005-0000-0000-00000F210000}"/>
    <cellStyle name="Note 2 3 5 2 2" xfId="8290" xr:uid="{00000000-0005-0000-0000-000010210000}"/>
    <cellStyle name="Note 2 3 5 2 2 2" xfId="17572" xr:uid="{6C18F825-34C1-4FA8-BF87-E4BB87F9878A}"/>
    <cellStyle name="Note 2 3 5 2 3" xfId="13355" xr:uid="{EEC4E218-63FC-40B0-B1C5-A8B5150D710A}"/>
    <cellStyle name="Note 2 3 5 3" xfId="6145" xr:uid="{00000000-0005-0000-0000-000011210000}"/>
    <cellStyle name="Note 2 3 5 3 2" xfId="15427" xr:uid="{C4AA0A3C-AB20-4147-9CBC-25E9692EED7C}"/>
    <cellStyle name="Note 2 3 5 4" xfId="11210" xr:uid="{97E7CFD9-AD23-42FA-ADF2-3F5843E36F4E}"/>
    <cellStyle name="Note 2 3 6" xfId="2252" xr:uid="{00000000-0005-0000-0000-000012210000}"/>
    <cellStyle name="Note 2 3 6 2" xfId="4481" xr:uid="{00000000-0005-0000-0000-000013210000}"/>
    <cellStyle name="Note 2 3 6 2 2" xfId="8703" xr:uid="{00000000-0005-0000-0000-000014210000}"/>
    <cellStyle name="Note 2 3 6 2 2 2" xfId="17985" xr:uid="{5E8F36A0-32DC-45C2-8CA1-B613B9F41E08}"/>
    <cellStyle name="Note 2 3 6 2 3" xfId="13768" xr:uid="{BD9EFAB7-C783-4E04-AC16-6B77239955CB}"/>
    <cellStyle name="Note 2 3 6 3" xfId="6558" xr:uid="{00000000-0005-0000-0000-000015210000}"/>
    <cellStyle name="Note 2 3 6 3 2" xfId="15840" xr:uid="{BD5DFB88-E54C-4204-B48B-C5702F058277}"/>
    <cellStyle name="Note 2 3 6 4" xfId="11623" xr:uid="{CC319640-0002-4150-9D42-A210B0624F28}"/>
    <cellStyle name="Note 2 3 7" xfId="2688" xr:uid="{00000000-0005-0000-0000-000016210000}"/>
    <cellStyle name="Note 2 3 7 2" xfId="6971" xr:uid="{00000000-0005-0000-0000-000017210000}"/>
    <cellStyle name="Note 2 3 7 2 2" xfId="16253" xr:uid="{5CB78DDD-BDB6-4837-A4E8-E3FB83A5143E}"/>
    <cellStyle name="Note 2 3 7 3" xfId="12036" xr:uid="{B36E8593-8ED7-4CC1-AF74-CD770C6BE78B}"/>
    <cellStyle name="Note 2 3 8" xfId="2747" xr:uid="{00000000-0005-0000-0000-000018210000}"/>
    <cellStyle name="Note 2 3 9" xfId="2828" xr:uid="{00000000-0005-0000-0000-000019210000}"/>
    <cellStyle name="Note 2 3 9 2" xfId="7051" xr:uid="{00000000-0005-0000-0000-00001A210000}"/>
    <cellStyle name="Note 2 3 9 2 2" xfId="16333" xr:uid="{A1606A08-42DC-44D2-9349-39CBE5D6255A}"/>
    <cellStyle name="Note 2 3 9 3" xfId="12116" xr:uid="{AF1E07D5-8990-48DD-940F-E09A8AC1224C}"/>
    <cellStyle name="Note 2 4" xfId="551" xr:uid="{00000000-0005-0000-0000-00001B210000}"/>
    <cellStyle name="Note 2 4 10" xfId="9973" xr:uid="{32D6BCC7-D827-4BEB-A723-8C5EC95500DE}"/>
    <cellStyle name="Note 2 4 11" xfId="9139" xr:uid="{8AC33904-BBB3-4BA8-B1D4-2AFA06395B58}"/>
    <cellStyle name="Note 2 4 2" xfId="1012" xr:uid="{00000000-0005-0000-0000-00001C210000}"/>
    <cellStyle name="Note 2 4 2 2" xfId="3244" xr:uid="{00000000-0005-0000-0000-00001D210000}"/>
    <cellStyle name="Note 2 4 2 2 2" xfId="7466" xr:uid="{00000000-0005-0000-0000-00001E210000}"/>
    <cellStyle name="Note 2 4 2 2 2 2" xfId="16748" xr:uid="{5C13C8D0-464B-4C00-B147-0B48ECE9E036}"/>
    <cellStyle name="Note 2 4 2 2 3" xfId="12531" xr:uid="{DEF2C96C-A764-4922-A9DE-7A29E5C1DF96}"/>
    <cellStyle name="Note 2 4 2 3" xfId="5321" xr:uid="{00000000-0005-0000-0000-00001F210000}"/>
    <cellStyle name="Note 2 4 2 3 2" xfId="14603" xr:uid="{2DA96D3B-9295-40E4-A789-8D147F253098}"/>
    <cellStyle name="Note 2 4 2 4" xfId="10386" xr:uid="{17AC1614-B851-4DB6-9C9C-84F9BBDA5608}"/>
    <cellStyle name="Note 2 4 2 5" xfId="9558" xr:uid="{3CC35041-F541-4426-9449-8CE4306C4D62}"/>
    <cellStyle name="Note 2 4 3" xfId="1427" xr:uid="{00000000-0005-0000-0000-000020210000}"/>
    <cellStyle name="Note 2 4 3 2" xfId="3657" xr:uid="{00000000-0005-0000-0000-000021210000}"/>
    <cellStyle name="Note 2 4 3 2 2" xfId="7879" xr:uid="{00000000-0005-0000-0000-000022210000}"/>
    <cellStyle name="Note 2 4 3 2 2 2" xfId="17161" xr:uid="{44D9F00F-6437-4F76-A4CF-5D480B9DC9D7}"/>
    <cellStyle name="Note 2 4 3 2 3" xfId="12944" xr:uid="{17147099-56A6-41F0-9410-D8F4AA37DB3A}"/>
    <cellStyle name="Note 2 4 3 3" xfId="5734" xr:uid="{00000000-0005-0000-0000-000023210000}"/>
    <cellStyle name="Note 2 4 3 3 2" xfId="15016" xr:uid="{BA858014-1EE5-4EC3-9263-7C224DA61824}"/>
    <cellStyle name="Note 2 4 3 4" xfId="10799" xr:uid="{EB94BCC3-DE5A-4FF1-BD9A-09E2614CC291}"/>
    <cellStyle name="Note 2 4 4" xfId="1841" xr:uid="{00000000-0005-0000-0000-000024210000}"/>
    <cellStyle name="Note 2 4 4 2" xfId="4070" xr:uid="{00000000-0005-0000-0000-000025210000}"/>
    <cellStyle name="Note 2 4 4 2 2" xfId="8292" xr:uid="{00000000-0005-0000-0000-000026210000}"/>
    <cellStyle name="Note 2 4 4 2 2 2" xfId="17574" xr:uid="{1EE68175-B66A-4303-85F3-79601F3206A3}"/>
    <cellStyle name="Note 2 4 4 2 3" xfId="13357" xr:uid="{0BA5FE0B-23B5-4714-A992-C4B49BA2260C}"/>
    <cellStyle name="Note 2 4 4 3" xfId="6147" xr:uid="{00000000-0005-0000-0000-000027210000}"/>
    <cellStyle name="Note 2 4 4 3 2" xfId="15429" xr:uid="{6FF7982F-50FB-4238-8DBE-DE74C5B7A61C}"/>
    <cellStyle name="Note 2 4 4 4" xfId="11212" xr:uid="{C2444123-BEBA-48EB-8E70-87FA868ECB62}"/>
    <cellStyle name="Note 2 4 5" xfId="2254" xr:uid="{00000000-0005-0000-0000-000028210000}"/>
    <cellStyle name="Note 2 4 5 2" xfId="4483" xr:uid="{00000000-0005-0000-0000-000029210000}"/>
    <cellStyle name="Note 2 4 5 2 2" xfId="8705" xr:uid="{00000000-0005-0000-0000-00002A210000}"/>
    <cellStyle name="Note 2 4 5 2 2 2" xfId="17987" xr:uid="{D35DC8DD-CD9C-4F6E-9D02-16290A59A872}"/>
    <cellStyle name="Note 2 4 5 2 3" xfId="13770" xr:uid="{2835D78E-0D05-4C5D-8B03-A16E28DD22B4}"/>
    <cellStyle name="Note 2 4 5 3" xfId="6560" xr:uid="{00000000-0005-0000-0000-00002B210000}"/>
    <cellStyle name="Note 2 4 5 3 2" xfId="15842" xr:uid="{3E55C5AE-3652-4AFC-BE2F-33E57F5CB760}"/>
    <cellStyle name="Note 2 4 5 4" xfId="11625" xr:uid="{CE90D96E-698B-4037-B5F6-7E45AB35BA04}"/>
    <cellStyle name="Note 2 4 6" xfId="2690" xr:uid="{00000000-0005-0000-0000-00002C210000}"/>
    <cellStyle name="Note 2 4 6 2" xfId="6973" xr:uid="{00000000-0005-0000-0000-00002D210000}"/>
    <cellStyle name="Note 2 4 6 2 2" xfId="16255" xr:uid="{EA9ADADF-A469-4525-AEFC-E285451A4FC6}"/>
    <cellStyle name="Note 2 4 6 3" xfId="12038" xr:uid="{6DFA37A9-6D08-4B84-9AA9-4EDD86470A67}"/>
    <cellStyle name="Note 2 4 7" xfId="2749" xr:uid="{00000000-0005-0000-0000-00002E210000}"/>
    <cellStyle name="Note 2 4 8" xfId="2830" xr:uid="{00000000-0005-0000-0000-00002F210000}"/>
    <cellStyle name="Note 2 4 8 2" xfId="7053" xr:uid="{00000000-0005-0000-0000-000030210000}"/>
    <cellStyle name="Note 2 4 8 2 2" xfId="16335" xr:uid="{27761F57-B891-4E73-BF94-F775F2CCA90A}"/>
    <cellStyle name="Note 2 4 8 3" xfId="12118" xr:uid="{CED1EC6C-3EC3-4D89-ABFF-56AA31B7A0A1}"/>
    <cellStyle name="Note 2 4 9" xfId="4908" xr:uid="{00000000-0005-0000-0000-000031210000}"/>
    <cellStyle name="Note 2 4 9 2" xfId="14190" xr:uid="{351D39A2-87D4-4FB0-9B6B-410DD01B6AB0}"/>
    <cellStyle name="Note 2 5" xfId="552" xr:uid="{00000000-0005-0000-0000-000032210000}"/>
    <cellStyle name="Note 2 5 10" xfId="9974" xr:uid="{58FDCA43-9DCF-4199-B83A-CB96DEF199FF}"/>
    <cellStyle name="Note 2 5 11" xfId="9140" xr:uid="{13162E54-613A-4066-8555-4F6285365AC3}"/>
    <cellStyle name="Note 2 5 2" xfId="1013" xr:uid="{00000000-0005-0000-0000-000033210000}"/>
    <cellStyle name="Note 2 5 2 2" xfId="3245" xr:uid="{00000000-0005-0000-0000-000034210000}"/>
    <cellStyle name="Note 2 5 2 2 2" xfId="7467" xr:uid="{00000000-0005-0000-0000-000035210000}"/>
    <cellStyle name="Note 2 5 2 2 2 2" xfId="16749" xr:uid="{EB9FDF93-AECD-4544-A91B-06B43286E1A0}"/>
    <cellStyle name="Note 2 5 2 2 3" xfId="12532" xr:uid="{B3CBCAE9-9A3F-40B7-BD64-CDB18412D23C}"/>
    <cellStyle name="Note 2 5 2 3" xfId="5322" xr:uid="{00000000-0005-0000-0000-000036210000}"/>
    <cellStyle name="Note 2 5 2 3 2" xfId="14604" xr:uid="{4BC7D60C-2A6D-47F3-AD57-F15C9E5D17AA}"/>
    <cellStyle name="Note 2 5 2 4" xfId="10387" xr:uid="{7D792682-024E-4287-A83C-CCC569D520E5}"/>
    <cellStyle name="Note 2 5 2 5" xfId="9559" xr:uid="{96FF2DDB-104D-4276-9D5C-E5F41BE0BF47}"/>
    <cellStyle name="Note 2 5 3" xfId="1428" xr:uid="{00000000-0005-0000-0000-000037210000}"/>
    <cellStyle name="Note 2 5 3 2" xfId="3658" xr:uid="{00000000-0005-0000-0000-000038210000}"/>
    <cellStyle name="Note 2 5 3 2 2" xfId="7880" xr:uid="{00000000-0005-0000-0000-000039210000}"/>
    <cellStyle name="Note 2 5 3 2 2 2" xfId="17162" xr:uid="{85FA8285-66C7-45AB-8D7A-89FCEB31828D}"/>
    <cellStyle name="Note 2 5 3 2 3" xfId="12945" xr:uid="{2B56335B-4B98-4A93-AE46-3782A65114B5}"/>
    <cellStyle name="Note 2 5 3 3" xfId="5735" xr:uid="{00000000-0005-0000-0000-00003A210000}"/>
    <cellStyle name="Note 2 5 3 3 2" xfId="15017" xr:uid="{3339E7C5-3B92-45F1-86F2-2DC9DD594FE8}"/>
    <cellStyle name="Note 2 5 3 4" xfId="10800" xr:uid="{12EDAAE4-9721-4E53-A1F2-1ADF08CF28EC}"/>
    <cellStyle name="Note 2 5 4" xfId="1842" xr:uid="{00000000-0005-0000-0000-00003B210000}"/>
    <cellStyle name="Note 2 5 4 2" xfId="4071" xr:uid="{00000000-0005-0000-0000-00003C210000}"/>
    <cellStyle name="Note 2 5 4 2 2" xfId="8293" xr:uid="{00000000-0005-0000-0000-00003D210000}"/>
    <cellStyle name="Note 2 5 4 2 2 2" xfId="17575" xr:uid="{FB0B08DB-8CE1-4CA9-9853-6B348583E382}"/>
    <cellStyle name="Note 2 5 4 2 3" xfId="13358" xr:uid="{BF8EBB39-CBD2-43B7-AAFF-FE74CEAE8F5E}"/>
    <cellStyle name="Note 2 5 4 3" xfId="6148" xr:uid="{00000000-0005-0000-0000-00003E210000}"/>
    <cellStyle name="Note 2 5 4 3 2" xfId="15430" xr:uid="{775B8B01-E1D4-47B3-90DE-9D67C9DBCD63}"/>
    <cellStyle name="Note 2 5 4 4" xfId="11213" xr:uid="{4C2850E9-8B58-41D1-8E80-82F0F928F684}"/>
    <cellStyle name="Note 2 5 5" xfId="2255" xr:uid="{00000000-0005-0000-0000-00003F210000}"/>
    <cellStyle name="Note 2 5 5 2" xfId="4484" xr:uid="{00000000-0005-0000-0000-000040210000}"/>
    <cellStyle name="Note 2 5 5 2 2" xfId="8706" xr:uid="{00000000-0005-0000-0000-000041210000}"/>
    <cellStyle name="Note 2 5 5 2 2 2" xfId="17988" xr:uid="{0F2E9D2C-A596-4A98-9784-6977B4F1B312}"/>
    <cellStyle name="Note 2 5 5 2 3" xfId="13771" xr:uid="{A8214E65-BF53-418C-97DC-118CB2A530C5}"/>
    <cellStyle name="Note 2 5 5 3" xfId="6561" xr:uid="{00000000-0005-0000-0000-000042210000}"/>
    <cellStyle name="Note 2 5 5 3 2" xfId="15843" xr:uid="{62157A96-2B6E-4A44-B5D7-175259067601}"/>
    <cellStyle name="Note 2 5 5 4" xfId="11626" xr:uid="{ECD186F5-3BF5-48D4-B7E5-1ECBD9AA08DB}"/>
    <cellStyle name="Note 2 5 6" xfId="2691" xr:uid="{00000000-0005-0000-0000-000043210000}"/>
    <cellStyle name="Note 2 5 6 2" xfId="6974" xr:uid="{00000000-0005-0000-0000-000044210000}"/>
    <cellStyle name="Note 2 5 6 2 2" xfId="16256" xr:uid="{969E6F0E-80E7-42BC-96B7-F425BF502389}"/>
    <cellStyle name="Note 2 5 6 3" xfId="12039" xr:uid="{681F3DE2-6D28-4A07-B16F-EC3131CA17ED}"/>
    <cellStyle name="Note 2 5 7" xfId="2750" xr:uid="{00000000-0005-0000-0000-000045210000}"/>
    <cellStyle name="Note 2 5 8" xfId="2831" xr:uid="{00000000-0005-0000-0000-000046210000}"/>
    <cellStyle name="Note 2 5 8 2" xfId="7054" xr:uid="{00000000-0005-0000-0000-000047210000}"/>
    <cellStyle name="Note 2 5 8 2 2" xfId="16336" xr:uid="{2E78803C-15E4-4BE3-B269-3CDFEAF4F7C6}"/>
    <cellStyle name="Note 2 5 8 3" xfId="12119" xr:uid="{51D2D8CD-8879-44FA-B75C-F1BC6CABBE53}"/>
    <cellStyle name="Note 2 5 9" xfId="4909" xr:uid="{00000000-0005-0000-0000-000048210000}"/>
    <cellStyle name="Note 2 5 9 2" xfId="14191" xr:uid="{5B5A130F-3579-49E5-A16E-DBD68A04955C}"/>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37" xr:uid="{1843ED62-44EE-4654-AFD2-6A82C51F9330}"/>
    <cellStyle name="Note 3 2 10 3" xfId="12120" xr:uid="{7CCE2FB0-72BE-4B15-9A9E-D45F1E809AA5}"/>
    <cellStyle name="Note 3 2 11" xfId="4910" xr:uid="{00000000-0005-0000-0000-00004D210000}"/>
    <cellStyle name="Note 3 2 11 2" xfId="14192" xr:uid="{6087F990-5363-4D71-BE47-44CDD62DE3AC}"/>
    <cellStyle name="Note 3 2 12" xfId="9975" xr:uid="{98780012-FB66-4A49-9205-1CF2068C33D5}"/>
    <cellStyle name="Note 3 2 13" xfId="9141" xr:uid="{CCF28EE8-94A8-4823-A613-47638DF6F59A}"/>
    <cellStyle name="Note 3 2 2" xfId="555" xr:uid="{00000000-0005-0000-0000-00004E210000}"/>
    <cellStyle name="Note 3 2 2 10" xfId="4911" xr:uid="{00000000-0005-0000-0000-00004F210000}"/>
    <cellStyle name="Note 3 2 2 10 2" xfId="14193" xr:uid="{0639F45D-8686-4A23-B329-6A110CA397FF}"/>
    <cellStyle name="Note 3 2 2 11" xfId="9976" xr:uid="{BBC5EC3B-D466-459E-A50C-07BF17DBEE67}"/>
    <cellStyle name="Note 3 2 2 12" xfId="9142" xr:uid="{5BF86FFE-6CAD-4177-9DA0-EF9211432A16}"/>
    <cellStyle name="Note 3 2 2 2" xfId="556" xr:uid="{00000000-0005-0000-0000-000050210000}"/>
    <cellStyle name="Note 3 2 2 2 10" xfId="9977" xr:uid="{6BA38CC7-F3D9-4E7A-A038-4133C0224325}"/>
    <cellStyle name="Note 3 2 2 2 11" xfId="9143" xr:uid="{F5360553-E4C6-48A0-A108-2AE08D9D181A}"/>
    <cellStyle name="Note 3 2 2 2 2" xfId="1016" xr:uid="{00000000-0005-0000-0000-000051210000}"/>
    <cellStyle name="Note 3 2 2 2 2 2" xfId="3248" xr:uid="{00000000-0005-0000-0000-000052210000}"/>
    <cellStyle name="Note 3 2 2 2 2 2 2" xfId="7470" xr:uid="{00000000-0005-0000-0000-000053210000}"/>
    <cellStyle name="Note 3 2 2 2 2 2 2 2" xfId="16752" xr:uid="{A4332A3B-C532-4302-997A-242A4042B53D}"/>
    <cellStyle name="Note 3 2 2 2 2 2 3" xfId="12535" xr:uid="{BE7EF173-FE82-48BC-A2FE-D90D9D219346}"/>
    <cellStyle name="Note 3 2 2 2 2 3" xfId="5325" xr:uid="{00000000-0005-0000-0000-000054210000}"/>
    <cellStyle name="Note 3 2 2 2 2 3 2" xfId="14607" xr:uid="{3C3FC043-09D5-4597-A022-768828EC74D3}"/>
    <cellStyle name="Note 3 2 2 2 2 4" xfId="10390" xr:uid="{707A93CD-EA67-4656-B16A-8151A28F1C70}"/>
    <cellStyle name="Note 3 2 2 2 2 5" xfId="9562" xr:uid="{9A7D0DE9-520B-4783-8746-3055CC91CF1F}"/>
    <cellStyle name="Note 3 2 2 2 3" xfId="1431" xr:uid="{00000000-0005-0000-0000-000055210000}"/>
    <cellStyle name="Note 3 2 2 2 3 2" xfId="3661" xr:uid="{00000000-0005-0000-0000-000056210000}"/>
    <cellStyle name="Note 3 2 2 2 3 2 2" xfId="7883" xr:uid="{00000000-0005-0000-0000-000057210000}"/>
    <cellStyle name="Note 3 2 2 2 3 2 2 2" xfId="17165" xr:uid="{4E6A7BAD-2D36-4741-86F8-44727EA840C3}"/>
    <cellStyle name="Note 3 2 2 2 3 2 3" xfId="12948" xr:uid="{9F378B51-501B-4E52-BD39-5675AF7035CB}"/>
    <cellStyle name="Note 3 2 2 2 3 3" xfId="5738" xr:uid="{00000000-0005-0000-0000-000058210000}"/>
    <cellStyle name="Note 3 2 2 2 3 3 2" xfId="15020" xr:uid="{167EA7D3-F02D-4933-9C2C-2916A13CF248}"/>
    <cellStyle name="Note 3 2 2 2 3 4" xfId="10803" xr:uid="{137891AF-A06E-4DD8-8F4D-331F80B819C8}"/>
    <cellStyle name="Note 3 2 2 2 4" xfId="1845" xr:uid="{00000000-0005-0000-0000-000059210000}"/>
    <cellStyle name="Note 3 2 2 2 4 2" xfId="4074" xr:uid="{00000000-0005-0000-0000-00005A210000}"/>
    <cellStyle name="Note 3 2 2 2 4 2 2" xfId="8296" xr:uid="{00000000-0005-0000-0000-00005B210000}"/>
    <cellStyle name="Note 3 2 2 2 4 2 2 2" xfId="17578" xr:uid="{445F8CC7-41C0-435A-890C-A8BEA6249C6A}"/>
    <cellStyle name="Note 3 2 2 2 4 2 3" xfId="13361" xr:uid="{8E518453-B703-4298-8FAB-FAC656DE54F4}"/>
    <cellStyle name="Note 3 2 2 2 4 3" xfId="6151" xr:uid="{00000000-0005-0000-0000-00005C210000}"/>
    <cellStyle name="Note 3 2 2 2 4 3 2" xfId="15433" xr:uid="{CF351A9F-CB72-4975-BEAF-786CAB30C7AD}"/>
    <cellStyle name="Note 3 2 2 2 4 4" xfId="11216" xr:uid="{7EB4ED99-7387-4BA6-9EB5-85F32CAF0D1D}"/>
    <cellStyle name="Note 3 2 2 2 5" xfId="2258" xr:uid="{00000000-0005-0000-0000-00005D210000}"/>
    <cellStyle name="Note 3 2 2 2 5 2" xfId="4487" xr:uid="{00000000-0005-0000-0000-00005E210000}"/>
    <cellStyle name="Note 3 2 2 2 5 2 2" xfId="8709" xr:uid="{00000000-0005-0000-0000-00005F210000}"/>
    <cellStyle name="Note 3 2 2 2 5 2 2 2" xfId="17991" xr:uid="{81B3C6CD-A483-43D7-9EA2-9D2B43483C21}"/>
    <cellStyle name="Note 3 2 2 2 5 2 3" xfId="13774" xr:uid="{ABBB07F2-2B6E-449E-950B-3AB17C0C7FF7}"/>
    <cellStyle name="Note 3 2 2 2 5 3" xfId="6564" xr:uid="{00000000-0005-0000-0000-000060210000}"/>
    <cellStyle name="Note 3 2 2 2 5 3 2" xfId="15846" xr:uid="{552CC189-5502-4A01-B3AE-9490054EAE8C}"/>
    <cellStyle name="Note 3 2 2 2 5 4" xfId="11629" xr:uid="{60221D14-1AFF-423A-A5B4-C3411632CFCA}"/>
    <cellStyle name="Note 3 2 2 2 6" xfId="2694" xr:uid="{00000000-0005-0000-0000-000061210000}"/>
    <cellStyle name="Note 3 2 2 2 6 2" xfId="6977" xr:uid="{00000000-0005-0000-0000-000062210000}"/>
    <cellStyle name="Note 3 2 2 2 6 2 2" xfId="16259" xr:uid="{2571B3DE-FA30-41DD-B504-8C7D629F4350}"/>
    <cellStyle name="Note 3 2 2 2 6 3" xfId="12042" xr:uid="{D0709AD1-52BE-410E-98B8-042339B16AAE}"/>
    <cellStyle name="Note 3 2 2 2 7" xfId="2753" xr:uid="{00000000-0005-0000-0000-000063210000}"/>
    <cellStyle name="Note 3 2 2 2 8" xfId="2834" xr:uid="{00000000-0005-0000-0000-000064210000}"/>
    <cellStyle name="Note 3 2 2 2 8 2" xfId="7057" xr:uid="{00000000-0005-0000-0000-000065210000}"/>
    <cellStyle name="Note 3 2 2 2 8 2 2" xfId="16339" xr:uid="{BEC655DB-A104-4B67-9BE6-CD9B2C1CCFEA}"/>
    <cellStyle name="Note 3 2 2 2 8 3" xfId="12122" xr:uid="{34689D42-4F57-4DD3-90B8-FD601E39C67C}"/>
    <cellStyle name="Note 3 2 2 2 9" xfId="4912" xr:uid="{00000000-0005-0000-0000-000066210000}"/>
    <cellStyle name="Note 3 2 2 2 9 2" xfId="14194" xr:uid="{B9FBDF2E-A88F-4957-B99C-0D3605FCE50C}"/>
    <cellStyle name="Note 3 2 2 3" xfId="1015" xr:uid="{00000000-0005-0000-0000-000067210000}"/>
    <cellStyle name="Note 3 2 2 3 2" xfId="3247" xr:uid="{00000000-0005-0000-0000-000068210000}"/>
    <cellStyle name="Note 3 2 2 3 2 2" xfId="7469" xr:uid="{00000000-0005-0000-0000-000069210000}"/>
    <cellStyle name="Note 3 2 2 3 2 2 2" xfId="16751" xr:uid="{C04A9BE4-8D63-49BA-8235-FF5FCF66D7E8}"/>
    <cellStyle name="Note 3 2 2 3 2 3" xfId="12534" xr:uid="{5F838FAE-3DCE-44D5-A6E9-467B57665BD7}"/>
    <cellStyle name="Note 3 2 2 3 3" xfId="5324" xr:uid="{00000000-0005-0000-0000-00006A210000}"/>
    <cellStyle name="Note 3 2 2 3 3 2" xfId="14606" xr:uid="{97578DBC-3463-4D99-B8F6-FE7A32FBC798}"/>
    <cellStyle name="Note 3 2 2 3 4" xfId="10389" xr:uid="{6FB7C8EF-CD2F-4629-89F5-1048CBE01074}"/>
    <cellStyle name="Note 3 2 2 3 5" xfId="9561" xr:uid="{6DE5091B-0B45-4B23-A5EF-5BE7ED0A2F40}"/>
    <cellStyle name="Note 3 2 2 4" xfId="1430" xr:uid="{00000000-0005-0000-0000-00006B210000}"/>
    <cellStyle name="Note 3 2 2 4 2" xfId="3660" xr:uid="{00000000-0005-0000-0000-00006C210000}"/>
    <cellStyle name="Note 3 2 2 4 2 2" xfId="7882" xr:uid="{00000000-0005-0000-0000-00006D210000}"/>
    <cellStyle name="Note 3 2 2 4 2 2 2" xfId="17164" xr:uid="{370E2EF0-F9C1-4469-9F17-86EA58082468}"/>
    <cellStyle name="Note 3 2 2 4 2 3" xfId="12947" xr:uid="{865A8FC5-6C21-4767-BAE9-C06BA15FE694}"/>
    <cellStyle name="Note 3 2 2 4 3" xfId="5737" xr:uid="{00000000-0005-0000-0000-00006E210000}"/>
    <cellStyle name="Note 3 2 2 4 3 2" xfId="15019" xr:uid="{D3983DBD-7FEC-469E-BED2-083DF8211078}"/>
    <cellStyle name="Note 3 2 2 4 4" xfId="10802" xr:uid="{42048A68-AB1C-4B17-BEFE-E61A5039B622}"/>
    <cellStyle name="Note 3 2 2 5" xfId="1844" xr:uid="{00000000-0005-0000-0000-00006F210000}"/>
    <cellStyle name="Note 3 2 2 5 2" xfId="4073" xr:uid="{00000000-0005-0000-0000-000070210000}"/>
    <cellStyle name="Note 3 2 2 5 2 2" xfId="8295" xr:uid="{00000000-0005-0000-0000-000071210000}"/>
    <cellStyle name="Note 3 2 2 5 2 2 2" xfId="17577" xr:uid="{B1E6CD6C-EC68-4678-9DA1-FA0457207AAF}"/>
    <cellStyle name="Note 3 2 2 5 2 3" xfId="13360" xr:uid="{AF8B5862-1BE5-4FBC-94CC-7A409F7F8EE4}"/>
    <cellStyle name="Note 3 2 2 5 3" xfId="6150" xr:uid="{00000000-0005-0000-0000-000072210000}"/>
    <cellStyle name="Note 3 2 2 5 3 2" xfId="15432" xr:uid="{2263227D-3B4D-4CB7-80B2-94FDC9FA0CE9}"/>
    <cellStyle name="Note 3 2 2 5 4" xfId="11215" xr:uid="{A59B8CC2-598A-4412-94F5-A52CC48E3F54}"/>
    <cellStyle name="Note 3 2 2 6" xfId="2257" xr:uid="{00000000-0005-0000-0000-000073210000}"/>
    <cellStyle name="Note 3 2 2 6 2" xfId="4486" xr:uid="{00000000-0005-0000-0000-000074210000}"/>
    <cellStyle name="Note 3 2 2 6 2 2" xfId="8708" xr:uid="{00000000-0005-0000-0000-000075210000}"/>
    <cellStyle name="Note 3 2 2 6 2 2 2" xfId="17990" xr:uid="{76093633-B7DD-45FF-80EA-9CCE644672C7}"/>
    <cellStyle name="Note 3 2 2 6 2 3" xfId="13773" xr:uid="{8FA3D712-7C4A-40B7-9A51-650B44B94150}"/>
    <cellStyle name="Note 3 2 2 6 3" xfId="6563" xr:uid="{00000000-0005-0000-0000-000076210000}"/>
    <cellStyle name="Note 3 2 2 6 3 2" xfId="15845" xr:uid="{EADC9628-8322-45FC-B331-45C9DBF1FBB9}"/>
    <cellStyle name="Note 3 2 2 6 4" xfId="11628" xr:uid="{DB85BCBB-C54D-4CE4-A2FF-52A6C8B4315E}"/>
    <cellStyle name="Note 3 2 2 7" xfId="2693" xr:uid="{00000000-0005-0000-0000-000077210000}"/>
    <cellStyle name="Note 3 2 2 7 2" xfId="6976" xr:uid="{00000000-0005-0000-0000-000078210000}"/>
    <cellStyle name="Note 3 2 2 7 2 2" xfId="16258" xr:uid="{106EFBC6-EC7D-4AFC-8D3F-6C4C356EE8D8}"/>
    <cellStyle name="Note 3 2 2 7 3" xfId="12041" xr:uid="{222DA917-62E5-4FB2-9B98-3D58FA355D68}"/>
    <cellStyle name="Note 3 2 2 8" xfId="2752" xr:uid="{00000000-0005-0000-0000-000079210000}"/>
    <cellStyle name="Note 3 2 2 9" xfId="2833" xr:uid="{00000000-0005-0000-0000-00007A210000}"/>
    <cellStyle name="Note 3 2 2 9 2" xfId="7056" xr:uid="{00000000-0005-0000-0000-00007B210000}"/>
    <cellStyle name="Note 3 2 2 9 2 2" xfId="16338" xr:uid="{02E1E61C-8461-4CA7-BD3D-7CD4AEF4C33E}"/>
    <cellStyle name="Note 3 2 2 9 3" xfId="12121" xr:uid="{00622CBC-01CB-4F79-BBE0-2B10B236440E}"/>
    <cellStyle name="Note 3 2 3" xfId="557" xr:uid="{00000000-0005-0000-0000-00007C210000}"/>
    <cellStyle name="Note 3 2 3 10" xfId="9978" xr:uid="{055FB70E-2B00-44F3-9EA3-856D20B69F99}"/>
    <cellStyle name="Note 3 2 3 11" xfId="9144" xr:uid="{E43E6982-BE4A-4CB6-B77B-15918CF10C42}"/>
    <cellStyle name="Note 3 2 3 2" xfId="1017" xr:uid="{00000000-0005-0000-0000-00007D210000}"/>
    <cellStyle name="Note 3 2 3 2 2" xfId="3249" xr:uid="{00000000-0005-0000-0000-00007E210000}"/>
    <cellStyle name="Note 3 2 3 2 2 2" xfId="7471" xr:uid="{00000000-0005-0000-0000-00007F210000}"/>
    <cellStyle name="Note 3 2 3 2 2 2 2" xfId="16753" xr:uid="{DB2CFF4C-73D3-4C9D-B5FB-DA03494361D3}"/>
    <cellStyle name="Note 3 2 3 2 2 3" xfId="12536" xr:uid="{C4750C99-D2E4-434E-AEA4-B80E3A473469}"/>
    <cellStyle name="Note 3 2 3 2 3" xfId="5326" xr:uid="{00000000-0005-0000-0000-000080210000}"/>
    <cellStyle name="Note 3 2 3 2 3 2" xfId="14608" xr:uid="{9051CF4D-BF5D-42A2-A0E4-EDFA244D4E83}"/>
    <cellStyle name="Note 3 2 3 2 4" xfId="10391" xr:uid="{ABE52B70-2330-4B49-86B9-64C97DF6D233}"/>
    <cellStyle name="Note 3 2 3 2 5" xfId="9563" xr:uid="{B076A406-B640-4132-B0B3-D9659007ECA0}"/>
    <cellStyle name="Note 3 2 3 3" xfId="1432" xr:uid="{00000000-0005-0000-0000-000081210000}"/>
    <cellStyle name="Note 3 2 3 3 2" xfId="3662" xr:uid="{00000000-0005-0000-0000-000082210000}"/>
    <cellStyle name="Note 3 2 3 3 2 2" xfId="7884" xr:uid="{00000000-0005-0000-0000-000083210000}"/>
    <cellStyle name="Note 3 2 3 3 2 2 2" xfId="17166" xr:uid="{35C36825-7A52-4B58-A987-712471972FA9}"/>
    <cellStyle name="Note 3 2 3 3 2 3" xfId="12949" xr:uid="{BD45E4A2-F723-4158-8D4C-B7258D52EA89}"/>
    <cellStyle name="Note 3 2 3 3 3" xfId="5739" xr:uid="{00000000-0005-0000-0000-000084210000}"/>
    <cellStyle name="Note 3 2 3 3 3 2" xfId="15021" xr:uid="{32D9E293-0EF9-4239-863E-07645993895B}"/>
    <cellStyle name="Note 3 2 3 3 4" xfId="10804" xr:uid="{369758F0-4A49-4107-BB1B-4715ABC01759}"/>
    <cellStyle name="Note 3 2 3 4" xfId="1846" xr:uid="{00000000-0005-0000-0000-000085210000}"/>
    <cellStyle name="Note 3 2 3 4 2" xfId="4075" xr:uid="{00000000-0005-0000-0000-000086210000}"/>
    <cellStyle name="Note 3 2 3 4 2 2" xfId="8297" xr:uid="{00000000-0005-0000-0000-000087210000}"/>
    <cellStyle name="Note 3 2 3 4 2 2 2" xfId="17579" xr:uid="{1026481E-1388-43CD-A208-0D4B3FD91742}"/>
    <cellStyle name="Note 3 2 3 4 2 3" xfId="13362" xr:uid="{F3607759-52AA-49A4-A8BF-E6B5F0B0333C}"/>
    <cellStyle name="Note 3 2 3 4 3" xfId="6152" xr:uid="{00000000-0005-0000-0000-000088210000}"/>
    <cellStyle name="Note 3 2 3 4 3 2" xfId="15434" xr:uid="{E66EAD73-DF6F-4771-AE9E-B8EEFC66C549}"/>
    <cellStyle name="Note 3 2 3 4 4" xfId="11217" xr:uid="{98DA4F4B-DC39-40B4-86B4-F04D22242352}"/>
    <cellStyle name="Note 3 2 3 5" xfId="2259" xr:uid="{00000000-0005-0000-0000-000089210000}"/>
    <cellStyle name="Note 3 2 3 5 2" xfId="4488" xr:uid="{00000000-0005-0000-0000-00008A210000}"/>
    <cellStyle name="Note 3 2 3 5 2 2" xfId="8710" xr:uid="{00000000-0005-0000-0000-00008B210000}"/>
    <cellStyle name="Note 3 2 3 5 2 2 2" xfId="17992" xr:uid="{A2B32CB0-16E6-4920-BC90-F97C61FE5F01}"/>
    <cellStyle name="Note 3 2 3 5 2 3" xfId="13775" xr:uid="{F61D33C7-73D1-4061-8529-CDF90CADA039}"/>
    <cellStyle name="Note 3 2 3 5 3" xfId="6565" xr:uid="{00000000-0005-0000-0000-00008C210000}"/>
    <cellStyle name="Note 3 2 3 5 3 2" xfId="15847" xr:uid="{F456E557-9FE5-4BDB-A997-815705B7A457}"/>
    <cellStyle name="Note 3 2 3 5 4" xfId="11630" xr:uid="{4B601DC3-2D0F-4100-ACB2-D9C21B6EBEF6}"/>
    <cellStyle name="Note 3 2 3 6" xfId="2695" xr:uid="{00000000-0005-0000-0000-00008D210000}"/>
    <cellStyle name="Note 3 2 3 6 2" xfId="6978" xr:uid="{00000000-0005-0000-0000-00008E210000}"/>
    <cellStyle name="Note 3 2 3 6 2 2" xfId="16260" xr:uid="{634848CB-591B-460B-A217-74D1A4CCA251}"/>
    <cellStyle name="Note 3 2 3 6 3" xfId="12043" xr:uid="{197EBFE9-A637-43AE-8DD3-6E49D67B8AE5}"/>
    <cellStyle name="Note 3 2 3 7" xfId="2754" xr:uid="{00000000-0005-0000-0000-00008F210000}"/>
    <cellStyle name="Note 3 2 3 8" xfId="2835" xr:uid="{00000000-0005-0000-0000-000090210000}"/>
    <cellStyle name="Note 3 2 3 8 2" xfId="7058" xr:uid="{00000000-0005-0000-0000-000091210000}"/>
    <cellStyle name="Note 3 2 3 8 2 2" xfId="16340" xr:uid="{525A7E73-73E8-4BF7-8D66-096076BF4B12}"/>
    <cellStyle name="Note 3 2 3 8 3" xfId="12123" xr:uid="{F722D759-AA9B-48A0-9F73-A3799B3CDAC7}"/>
    <cellStyle name="Note 3 2 3 9" xfId="4913" xr:uid="{00000000-0005-0000-0000-000092210000}"/>
    <cellStyle name="Note 3 2 3 9 2" xfId="14195" xr:uid="{F62C6609-F46E-4360-B01F-15CABC33D774}"/>
    <cellStyle name="Note 3 2 4" xfId="1014" xr:uid="{00000000-0005-0000-0000-000093210000}"/>
    <cellStyle name="Note 3 2 4 2" xfId="3246" xr:uid="{00000000-0005-0000-0000-000094210000}"/>
    <cellStyle name="Note 3 2 4 2 2" xfId="7468" xr:uid="{00000000-0005-0000-0000-000095210000}"/>
    <cellStyle name="Note 3 2 4 2 2 2" xfId="16750" xr:uid="{EC0EC7E6-4C39-487D-95F0-5C7ABBB02035}"/>
    <cellStyle name="Note 3 2 4 2 3" xfId="12533" xr:uid="{02A32609-8CD6-415B-926F-90979EDBBAE8}"/>
    <cellStyle name="Note 3 2 4 3" xfId="5323" xr:uid="{00000000-0005-0000-0000-000096210000}"/>
    <cellStyle name="Note 3 2 4 3 2" xfId="14605" xr:uid="{F858A939-251B-49EA-8E7E-30C3DA593399}"/>
    <cellStyle name="Note 3 2 4 4" xfId="10388" xr:uid="{0561FE20-75A0-4D2B-B8B3-750946982EA2}"/>
    <cellStyle name="Note 3 2 4 5" xfId="9560" xr:uid="{09A48FD1-F5F2-4768-86FE-A42F4862832C}"/>
    <cellStyle name="Note 3 2 5" xfId="1429" xr:uid="{00000000-0005-0000-0000-000097210000}"/>
    <cellStyle name="Note 3 2 5 2" xfId="3659" xr:uid="{00000000-0005-0000-0000-000098210000}"/>
    <cellStyle name="Note 3 2 5 2 2" xfId="7881" xr:uid="{00000000-0005-0000-0000-000099210000}"/>
    <cellStyle name="Note 3 2 5 2 2 2" xfId="17163" xr:uid="{CE1131B3-1565-4B5A-9581-72052148E062}"/>
    <cellStyle name="Note 3 2 5 2 3" xfId="12946" xr:uid="{E689AAE7-5017-4926-AFFB-C682794C722C}"/>
    <cellStyle name="Note 3 2 5 3" xfId="5736" xr:uid="{00000000-0005-0000-0000-00009A210000}"/>
    <cellStyle name="Note 3 2 5 3 2" xfId="15018" xr:uid="{ACE32AA3-9578-421E-B1C2-00AB29C1A30F}"/>
    <cellStyle name="Note 3 2 5 4" xfId="10801" xr:uid="{E58ADE4E-9DF3-4E0F-BF4E-A822FB5EFE45}"/>
    <cellStyle name="Note 3 2 6" xfId="1843" xr:uid="{00000000-0005-0000-0000-00009B210000}"/>
    <cellStyle name="Note 3 2 6 2" xfId="4072" xr:uid="{00000000-0005-0000-0000-00009C210000}"/>
    <cellStyle name="Note 3 2 6 2 2" xfId="8294" xr:uid="{00000000-0005-0000-0000-00009D210000}"/>
    <cellStyle name="Note 3 2 6 2 2 2" xfId="17576" xr:uid="{225B3CDB-8963-462A-B555-DFF1073520CF}"/>
    <cellStyle name="Note 3 2 6 2 3" xfId="13359" xr:uid="{2C033C96-B4F6-4641-8560-F39001EE1616}"/>
    <cellStyle name="Note 3 2 6 3" xfId="6149" xr:uid="{00000000-0005-0000-0000-00009E210000}"/>
    <cellStyle name="Note 3 2 6 3 2" xfId="15431" xr:uid="{4D2478B7-105A-4ACC-A140-70CE140D8F71}"/>
    <cellStyle name="Note 3 2 6 4" xfId="11214" xr:uid="{F715CD49-07F4-4A75-A7C2-07781408698A}"/>
    <cellStyle name="Note 3 2 7" xfId="2256" xr:uid="{00000000-0005-0000-0000-00009F210000}"/>
    <cellStyle name="Note 3 2 7 2" xfId="4485" xr:uid="{00000000-0005-0000-0000-0000A0210000}"/>
    <cellStyle name="Note 3 2 7 2 2" xfId="8707" xr:uid="{00000000-0005-0000-0000-0000A1210000}"/>
    <cellStyle name="Note 3 2 7 2 2 2" xfId="17989" xr:uid="{B89C1E3D-AAD1-4A67-AB79-8D9AB9FB5664}"/>
    <cellStyle name="Note 3 2 7 2 3" xfId="13772" xr:uid="{39E70E24-C894-4799-9E5E-2E7EECEE145E}"/>
    <cellStyle name="Note 3 2 7 3" xfId="6562" xr:uid="{00000000-0005-0000-0000-0000A2210000}"/>
    <cellStyle name="Note 3 2 7 3 2" xfId="15844" xr:uid="{33006E9D-31D6-41FC-B789-A186B356DB88}"/>
    <cellStyle name="Note 3 2 7 4" xfId="11627" xr:uid="{3800E3AE-5FE0-4EEF-B772-A833D5F8F110}"/>
    <cellStyle name="Note 3 2 8" xfId="2692" xr:uid="{00000000-0005-0000-0000-0000A3210000}"/>
    <cellStyle name="Note 3 2 8 2" xfId="6975" xr:uid="{00000000-0005-0000-0000-0000A4210000}"/>
    <cellStyle name="Note 3 2 8 2 2" xfId="16257" xr:uid="{BB831653-E287-410A-AD3B-CB625DB5E44F}"/>
    <cellStyle name="Note 3 2 8 3" xfId="12040" xr:uid="{2CC24B55-F6CE-4ED0-AE95-206D49E7B8A0}"/>
    <cellStyle name="Note 3 2 9" xfId="2751" xr:uid="{00000000-0005-0000-0000-0000A5210000}"/>
    <cellStyle name="Note 3 3" xfId="558" xr:uid="{00000000-0005-0000-0000-0000A6210000}"/>
    <cellStyle name="Note 3 3 10" xfId="4914" xr:uid="{00000000-0005-0000-0000-0000A7210000}"/>
    <cellStyle name="Note 3 3 10 2" xfId="14196" xr:uid="{04077B1D-FC84-4837-A426-D69F92CD5D73}"/>
    <cellStyle name="Note 3 3 11" xfId="9979" xr:uid="{899C300F-3E39-42DF-8D08-88F4AD8386E2}"/>
    <cellStyle name="Note 3 3 12" xfId="9145" xr:uid="{4F3530D1-613E-48BC-960B-E41D9895DD6A}"/>
    <cellStyle name="Note 3 3 2" xfId="559" xr:uid="{00000000-0005-0000-0000-0000A8210000}"/>
    <cellStyle name="Note 3 3 2 10" xfId="9980" xr:uid="{A3431333-6930-4CCA-B7F0-69449CD85E1E}"/>
    <cellStyle name="Note 3 3 2 11" xfId="9146" xr:uid="{062F0800-0688-46E8-9957-3FF4883F02CE}"/>
    <cellStyle name="Note 3 3 2 2" xfId="1019" xr:uid="{00000000-0005-0000-0000-0000A9210000}"/>
    <cellStyle name="Note 3 3 2 2 2" xfId="3251" xr:uid="{00000000-0005-0000-0000-0000AA210000}"/>
    <cellStyle name="Note 3 3 2 2 2 2" xfId="7473" xr:uid="{00000000-0005-0000-0000-0000AB210000}"/>
    <cellStyle name="Note 3 3 2 2 2 2 2" xfId="16755" xr:uid="{B214C3CA-11CC-4D63-800B-B1B4D5422D26}"/>
    <cellStyle name="Note 3 3 2 2 2 3" xfId="12538" xr:uid="{177E834D-368C-49C2-842C-A81225766778}"/>
    <cellStyle name="Note 3 3 2 2 3" xfId="5328" xr:uid="{00000000-0005-0000-0000-0000AC210000}"/>
    <cellStyle name="Note 3 3 2 2 3 2" xfId="14610" xr:uid="{6F184CEC-3B65-467C-8CBA-A2D59A243CFC}"/>
    <cellStyle name="Note 3 3 2 2 4" xfId="10393" xr:uid="{EE09BE2A-CF62-44AD-80A4-D0F18E498D8E}"/>
    <cellStyle name="Note 3 3 2 2 5" xfId="9565" xr:uid="{EBB889A6-5C3F-4A6D-8E37-85F924B044E4}"/>
    <cellStyle name="Note 3 3 2 3" xfId="1434" xr:uid="{00000000-0005-0000-0000-0000AD210000}"/>
    <cellStyle name="Note 3 3 2 3 2" xfId="3664" xr:uid="{00000000-0005-0000-0000-0000AE210000}"/>
    <cellStyle name="Note 3 3 2 3 2 2" xfId="7886" xr:uid="{00000000-0005-0000-0000-0000AF210000}"/>
    <cellStyle name="Note 3 3 2 3 2 2 2" xfId="17168" xr:uid="{ABE9AC15-50A1-40C2-9D26-1F1564878A90}"/>
    <cellStyle name="Note 3 3 2 3 2 3" xfId="12951" xr:uid="{8FE44E29-135D-4B52-A031-6520A9A885DE}"/>
    <cellStyle name="Note 3 3 2 3 3" xfId="5741" xr:uid="{00000000-0005-0000-0000-0000B0210000}"/>
    <cellStyle name="Note 3 3 2 3 3 2" xfId="15023" xr:uid="{F5073A05-9137-414F-AE89-AB0FB8EA69F1}"/>
    <cellStyle name="Note 3 3 2 3 4" xfId="10806" xr:uid="{554F1C21-38F4-4BA9-A7C4-F882B63BDC10}"/>
    <cellStyle name="Note 3 3 2 4" xfId="1848" xr:uid="{00000000-0005-0000-0000-0000B1210000}"/>
    <cellStyle name="Note 3 3 2 4 2" xfId="4077" xr:uid="{00000000-0005-0000-0000-0000B2210000}"/>
    <cellStyle name="Note 3 3 2 4 2 2" xfId="8299" xr:uid="{00000000-0005-0000-0000-0000B3210000}"/>
    <cellStyle name="Note 3 3 2 4 2 2 2" xfId="17581" xr:uid="{1224BE4B-994E-4545-8B76-07AAE8A412D0}"/>
    <cellStyle name="Note 3 3 2 4 2 3" xfId="13364" xr:uid="{CF1D5B4E-3944-4EA4-A695-F612273F1C3B}"/>
    <cellStyle name="Note 3 3 2 4 3" xfId="6154" xr:uid="{00000000-0005-0000-0000-0000B4210000}"/>
    <cellStyle name="Note 3 3 2 4 3 2" xfId="15436" xr:uid="{45844341-1815-4B54-AE65-139254710060}"/>
    <cellStyle name="Note 3 3 2 4 4" xfId="11219" xr:uid="{DFC217C2-601A-4A25-AC0F-DFA764BD15D5}"/>
    <cellStyle name="Note 3 3 2 5" xfId="2261" xr:uid="{00000000-0005-0000-0000-0000B5210000}"/>
    <cellStyle name="Note 3 3 2 5 2" xfId="4490" xr:uid="{00000000-0005-0000-0000-0000B6210000}"/>
    <cellStyle name="Note 3 3 2 5 2 2" xfId="8712" xr:uid="{00000000-0005-0000-0000-0000B7210000}"/>
    <cellStyle name="Note 3 3 2 5 2 2 2" xfId="17994" xr:uid="{8F1D5328-4FD8-443D-AEAF-7AFDDE1B41D4}"/>
    <cellStyle name="Note 3 3 2 5 2 3" xfId="13777" xr:uid="{40788131-0058-4C45-8914-DC7755380BDA}"/>
    <cellStyle name="Note 3 3 2 5 3" xfId="6567" xr:uid="{00000000-0005-0000-0000-0000B8210000}"/>
    <cellStyle name="Note 3 3 2 5 3 2" xfId="15849" xr:uid="{7D7D7108-91C7-488C-9FDC-9A36893E263A}"/>
    <cellStyle name="Note 3 3 2 5 4" xfId="11632" xr:uid="{4A8562EB-B5B7-4481-8223-28FB2396D9C2}"/>
    <cellStyle name="Note 3 3 2 6" xfId="2697" xr:uid="{00000000-0005-0000-0000-0000B9210000}"/>
    <cellStyle name="Note 3 3 2 6 2" xfId="6980" xr:uid="{00000000-0005-0000-0000-0000BA210000}"/>
    <cellStyle name="Note 3 3 2 6 2 2" xfId="16262" xr:uid="{39BE5BDC-43E4-4887-959A-DC600CE630F6}"/>
    <cellStyle name="Note 3 3 2 6 3" xfId="12045" xr:uid="{47CCCD5D-AFB5-46AE-9CA7-8E9B7C2D11BD}"/>
    <cellStyle name="Note 3 3 2 7" xfId="2756" xr:uid="{00000000-0005-0000-0000-0000BB210000}"/>
    <cellStyle name="Note 3 3 2 8" xfId="2837" xr:uid="{00000000-0005-0000-0000-0000BC210000}"/>
    <cellStyle name="Note 3 3 2 8 2" xfId="7060" xr:uid="{00000000-0005-0000-0000-0000BD210000}"/>
    <cellStyle name="Note 3 3 2 8 2 2" xfId="16342" xr:uid="{BD211F14-E83B-4836-A623-D54C6C25856E}"/>
    <cellStyle name="Note 3 3 2 8 3" xfId="12125" xr:uid="{CEE2A0F9-ED7C-4925-A704-B5C31934C9EA}"/>
    <cellStyle name="Note 3 3 2 9" xfId="4915" xr:uid="{00000000-0005-0000-0000-0000BE210000}"/>
    <cellStyle name="Note 3 3 2 9 2" xfId="14197" xr:uid="{764F9F15-ADA7-4ADC-BCE4-0FE03F7BCCE0}"/>
    <cellStyle name="Note 3 3 3" xfId="1018" xr:uid="{00000000-0005-0000-0000-0000BF210000}"/>
    <cellStyle name="Note 3 3 3 2" xfId="3250" xr:uid="{00000000-0005-0000-0000-0000C0210000}"/>
    <cellStyle name="Note 3 3 3 2 2" xfId="7472" xr:uid="{00000000-0005-0000-0000-0000C1210000}"/>
    <cellStyle name="Note 3 3 3 2 2 2" xfId="16754" xr:uid="{FE98CEB1-E793-4ECA-AD5D-FB2A42C84648}"/>
    <cellStyle name="Note 3 3 3 2 3" xfId="12537" xr:uid="{03E3B02B-3ACD-45FF-A46E-F593D132BA32}"/>
    <cellStyle name="Note 3 3 3 3" xfId="5327" xr:uid="{00000000-0005-0000-0000-0000C2210000}"/>
    <cellStyle name="Note 3 3 3 3 2" xfId="14609" xr:uid="{954A714A-1531-423D-A411-D6EE51CFD9D2}"/>
    <cellStyle name="Note 3 3 3 4" xfId="10392" xr:uid="{D88F9B4E-8246-4BD6-AC82-C2B12DCE9527}"/>
    <cellStyle name="Note 3 3 3 5" xfId="9564" xr:uid="{7E4A470D-8C0B-40A7-97DB-0DB25ABB1ADD}"/>
    <cellStyle name="Note 3 3 4" xfId="1433" xr:uid="{00000000-0005-0000-0000-0000C3210000}"/>
    <cellStyle name="Note 3 3 4 2" xfId="3663" xr:uid="{00000000-0005-0000-0000-0000C4210000}"/>
    <cellStyle name="Note 3 3 4 2 2" xfId="7885" xr:uid="{00000000-0005-0000-0000-0000C5210000}"/>
    <cellStyle name="Note 3 3 4 2 2 2" xfId="17167" xr:uid="{B585BE8E-8D5B-4CE1-A003-F5F137A11653}"/>
    <cellStyle name="Note 3 3 4 2 3" xfId="12950" xr:uid="{019D8169-C01C-4CBF-A1E4-5AFC509E1053}"/>
    <cellStyle name="Note 3 3 4 3" xfId="5740" xr:uid="{00000000-0005-0000-0000-0000C6210000}"/>
    <cellStyle name="Note 3 3 4 3 2" xfId="15022" xr:uid="{BD33DBE5-F93F-41A0-A713-2E20262AAA9D}"/>
    <cellStyle name="Note 3 3 4 4" xfId="10805" xr:uid="{8C27BDEC-75D8-4F2A-88A1-E2262FDBFFF9}"/>
    <cellStyle name="Note 3 3 5" xfId="1847" xr:uid="{00000000-0005-0000-0000-0000C7210000}"/>
    <cellStyle name="Note 3 3 5 2" xfId="4076" xr:uid="{00000000-0005-0000-0000-0000C8210000}"/>
    <cellStyle name="Note 3 3 5 2 2" xfId="8298" xr:uid="{00000000-0005-0000-0000-0000C9210000}"/>
    <cellStyle name="Note 3 3 5 2 2 2" xfId="17580" xr:uid="{60DA4EB3-89E3-48D4-A025-D90D25BC4664}"/>
    <cellStyle name="Note 3 3 5 2 3" xfId="13363" xr:uid="{B93015B3-AC0E-4989-9949-7DD672597844}"/>
    <cellStyle name="Note 3 3 5 3" xfId="6153" xr:uid="{00000000-0005-0000-0000-0000CA210000}"/>
    <cellStyle name="Note 3 3 5 3 2" xfId="15435" xr:uid="{1F1A86A1-75C1-4506-BDDC-79DC8E159DFE}"/>
    <cellStyle name="Note 3 3 5 4" xfId="11218" xr:uid="{5B3D1D1E-0799-45CA-903C-D0DE0BB7E6FD}"/>
    <cellStyle name="Note 3 3 6" xfId="2260" xr:uid="{00000000-0005-0000-0000-0000CB210000}"/>
    <cellStyle name="Note 3 3 6 2" xfId="4489" xr:uid="{00000000-0005-0000-0000-0000CC210000}"/>
    <cellStyle name="Note 3 3 6 2 2" xfId="8711" xr:uid="{00000000-0005-0000-0000-0000CD210000}"/>
    <cellStyle name="Note 3 3 6 2 2 2" xfId="17993" xr:uid="{B67ACC2D-047A-4C42-AB16-CC4DFA132089}"/>
    <cellStyle name="Note 3 3 6 2 3" xfId="13776" xr:uid="{C4FCFACA-1EC2-4FF2-8ECD-5CFCDF8ED836}"/>
    <cellStyle name="Note 3 3 6 3" xfId="6566" xr:uid="{00000000-0005-0000-0000-0000CE210000}"/>
    <cellStyle name="Note 3 3 6 3 2" xfId="15848" xr:uid="{80B5D891-E103-402E-9C58-E00A2EEF5D44}"/>
    <cellStyle name="Note 3 3 6 4" xfId="11631" xr:uid="{703E827C-AFAC-4C0A-A6DC-BDF699DEEC53}"/>
    <cellStyle name="Note 3 3 7" xfId="2696" xr:uid="{00000000-0005-0000-0000-0000CF210000}"/>
    <cellStyle name="Note 3 3 7 2" xfId="6979" xr:uid="{00000000-0005-0000-0000-0000D0210000}"/>
    <cellStyle name="Note 3 3 7 2 2" xfId="16261" xr:uid="{53C46455-8284-4D3C-A748-3645C62AF650}"/>
    <cellStyle name="Note 3 3 7 3" xfId="12044" xr:uid="{785CD0B7-4F99-4DD0-B5CA-DD7CC31B77B5}"/>
    <cellStyle name="Note 3 3 8" xfId="2755" xr:uid="{00000000-0005-0000-0000-0000D1210000}"/>
    <cellStyle name="Note 3 3 9" xfId="2836" xr:uid="{00000000-0005-0000-0000-0000D2210000}"/>
    <cellStyle name="Note 3 3 9 2" xfId="7059" xr:uid="{00000000-0005-0000-0000-0000D3210000}"/>
    <cellStyle name="Note 3 3 9 2 2" xfId="16341" xr:uid="{BBB8CD0B-AEEF-4AA2-ADF6-8527CB1FEFDD}"/>
    <cellStyle name="Note 3 3 9 3" xfId="12124" xr:uid="{53C92F38-FE59-49D4-926B-6B7830EB209A}"/>
    <cellStyle name="Note 3 4" xfId="560" xr:uid="{00000000-0005-0000-0000-0000D4210000}"/>
    <cellStyle name="Note 3 4 10" xfId="9981" xr:uid="{B43D1BB9-9726-48AB-99DD-D0E6E0B66D71}"/>
    <cellStyle name="Note 3 4 11" xfId="9147" xr:uid="{76C2B6D7-E4D2-4460-ADAC-E27D9DEAC089}"/>
    <cellStyle name="Note 3 4 2" xfId="1020" xr:uid="{00000000-0005-0000-0000-0000D5210000}"/>
    <cellStyle name="Note 3 4 2 2" xfId="3252" xr:uid="{00000000-0005-0000-0000-0000D6210000}"/>
    <cellStyle name="Note 3 4 2 2 2" xfId="7474" xr:uid="{00000000-0005-0000-0000-0000D7210000}"/>
    <cellStyle name="Note 3 4 2 2 2 2" xfId="16756" xr:uid="{D2CC3DC7-24E9-497D-96E3-8B442DE041FD}"/>
    <cellStyle name="Note 3 4 2 2 3" xfId="12539" xr:uid="{FBF114D4-4947-45EE-AAB5-342C761E7974}"/>
    <cellStyle name="Note 3 4 2 3" xfId="5329" xr:uid="{00000000-0005-0000-0000-0000D8210000}"/>
    <cellStyle name="Note 3 4 2 3 2" xfId="14611" xr:uid="{58900905-EB88-4347-A827-F978D12A56A6}"/>
    <cellStyle name="Note 3 4 2 4" xfId="10394" xr:uid="{FF56CF9A-6A37-4834-A86E-20BCEEC66670}"/>
    <cellStyle name="Note 3 4 2 5" xfId="9566" xr:uid="{3A79A4E7-082A-4C5E-8721-025B6B108797}"/>
    <cellStyle name="Note 3 4 3" xfId="1435" xr:uid="{00000000-0005-0000-0000-0000D9210000}"/>
    <cellStyle name="Note 3 4 3 2" xfId="3665" xr:uid="{00000000-0005-0000-0000-0000DA210000}"/>
    <cellStyle name="Note 3 4 3 2 2" xfId="7887" xr:uid="{00000000-0005-0000-0000-0000DB210000}"/>
    <cellStyle name="Note 3 4 3 2 2 2" xfId="17169" xr:uid="{82C0F8F1-D943-434D-90CF-1C1286638144}"/>
    <cellStyle name="Note 3 4 3 2 3" xfId="12952" xr:uid="{3D27F3DD-7D5D-401C-AD66-964C3D0656D5}"/>
    <cellStyle name="Note 3 4 3 3" xfId="5742" xr:uid="{00000000-0005-0000-0000-0000DC210000}"/>
    <cellStyle name="Note 3 4 3 3 2" xfId="15024" xr:uid="{D2A6D2B6-4D8F-4EEA-B6A2-8A7A41B708A8}"/>
    <cellStyle name="Note 3 4 3 4" xfId="10807" xr:uid="{FE3FD93B-A8F6-4974-86E1-6187F50A6997}"/>
    <cellStyle name="Note 3 4 4" xfId="1849" xr:uid="{00000000-0005-0000-0000-0000DD210000}"/>
    <cellStyle name="Note 3 4 4 2" xfId="4078" xr:uid="{00000000-0005-0000-0000-0000DE210000}"/>
    <cellStyle name="Note 3 4 4 2 2" xfId="8300" xr:uid="{00000000-0005-0000-0000-0000DF210000}"/>
    <cellStyle name="Note 3 4 4 2 2 2" xfId="17582" xr:uid="{96C37160-1ACB-4845-B45F-4B4C9A38CE72}"/>
    <cellStyle name="Note 3 4 4 2 3" xfId="13365" xr:uid="{27F3B28A-572F-4C3A-9137-FA7078C775D4}"/>
    <cellStyle name="Note 3 4 4 3" xfId="6155" xr:uid="{00000000-0005-0000-0000-0000E0210000}"/>
    <cellStyle name="Note 3 4 4 3 2" xfId="15437" xr:uid="{0259E9B3-64E9-4EA1-A2BA-C0DF2C7AC6AD}"/>
    <cellStyle name="Note 3 4 4 4" xfId="11220" xr:uid="{734238C5-7034-446D-B08E-633A570A8DB3}"/>
    <cellStyle name="Note 3 4 5" xfId="2262" xr:uid="{00000000-0005-0000-0000-0000E1210000}"/>
    <cellStyle name="Note 3 4 5 2" xfId="4491" xr:uid="{00000000-0005-0000-0000-0000E2210000}"/>
    <cellStyle name="Note 3 4 5 2 2" xfId="8713" xr:uid="{00000000-0005-0000-0000-0000E3210000}"/>
    <cellStyle name="Note 3 4 5 2 2 2" xfId="17995" xr:uid="{6E5DF5D7-82AB-4350-B7BE-5C46872F308D}"/>
    <cellStyle name="Note 3 4 5 2 3" xfId="13778" xr:uid="{1B6FDE5E-F651-4428-9E7A-DA6B932EEFF9}"/>
    <cellStyle name="Note 3 4 5 3" xfId="6568" xr:uid="{00000000-0005-0000-0000-0000E4210000}"/>
    <cellStyle name="Note 3 4 5 3 2" xfId="15850" xr:uid="{1B444FF6-C6E7-4141-A757-46167AB53182}"/>
    <cellStyle name="Note 3 4 5 4" xfId="11633" xr:uid="{C1C1F535-7D64-4467-88AB-48538146297C}"/>
    <cellStyle name="Note 3 4 6" xfId="2698" xr:uid="{00000000-0005-0000-0000-0000E5210000}"/>
    <cellStyle name="Note 3 4 6 2" xfId="6981" xr:uid="{00000000-0005-0000-0000-0000E6210000}"/>
    <cellStyle name="Note 3 4 6 2 2" xfId="16263" xr:uid="{9429711E-B7E5-4F38-BC8B-DB6F59E1E9EB}"/>
    <cellStyle name="Note 3 4 6 3" xfId="12046" xr:uid="{30E049D0-ADA2-4039-B84A-F127DF78AD73}"/>
    <cellStyle name="Note 3 4 7" xfId="2757" xr:uid="{00000000-0005-0000-0000-0000E7210000}"/>
    <cellStyle name="Note 3 4 8" xfId="2838" xr:uid="{00000000-0005-0000-0000-0000E8210000}"/>
    <cellStyle name="Note 3 4 8 2" xfId="7061" xr:uid="{00000000-0005-0000-0000-0000E9210000}"/>
    <cellStyle name="Note 3 4 8 2 2" xfId="16343" xr:uid="{C1BBCF77-A09B-45E2-981F-50FAD44BAD4E}"/>
    <cellStyle name="Note 3 4 8 3" xfId="12126" xr:uid="{92BAFD23-1EB8-4648-97FC-7A734CC6EB0A}"/>
    <cellStyle name="Note 3 4 9" xfId="4916" xr:uid="{00000000-0005-0000-0000-0000EA210000}"/>
    <cellStyle name="Note 3 4 9 2" xfId="14198" xr:uid="{7CA370AE-E47F-4779-B63D-676002D5C694}"/>
    <cellStyle name="Note 3 5" xfId="561" xr:uid="{00000000-0005-0000-0000-0000EB210000}"/>
    <cellStyle name="Note 3 5 10" xfId="9982" xr:uid="{AC52CDD8-1D7D-42CC-A77F-6C0B54AB86D0}"/>
    <cellStyle name="Note 3 5 11" xfId="9148" xr:uid="{0E371CE5-55C8-4FE8-BBDB-EB04EDAFA8A9}"/>
    <cellStyle name="Note 3 5 2" xfId="1021" xr:uid="{00000000-0005-0000-0000-0000EC210000}"/>
    <cellStyle name="Note 3 5 2 2" xfId="3253" xr:uid="{00000000-0005-0000-0000-0000ED210000}"/>
    <cellStyle name="Note 3 5 2 2 2" xfId="7475" xr:uid="{00000000-0005-0000-0000-0000EE210000}"/>
    <cellStyle name="Note 3 5 2 2 2 2" xfId="16757" xr:uid="{C1424E77-07FE-4735-942A-38FCC80A281A}"/>
    <cellStyle name="Note 3 5 2 2 3" xfId="12540" xr:uid="{0DA6FA3C-BCD5-463E-9475-FE084A626CD1}"/>
    <cellStyle name="Note 3 5 2 3" xfId="5330" xr:uid="{00000000-0005-0000-0000-0000EF210000}"/>
    <cellStyle name="Note 3 5 2 3 2" xfId="14612" xr:uid="{88654020-ADCD-4C91-A689-1174E1042332}"/>
    <cellStyle name="Note 3 5 2 4" xfId="10395" xr:uid="{7B198ABD-1EA0-4976-8021-6DB2C58F5873}"/>
    <cellStyle name="Note 3 5 2 5" xfId="9567" xr:uid="{1D6CFB56-DF24-435E-B24E-A2EE15B29F1E}"/>
    <cellStyle name="Note 3 5 3" xfId="1436" xr:uid="{00000000-0005-0000-0000-0000F0210000}"/>
    <cellStyle name="Note 3 5 3 2" xfId="3666" xr:uid="{00000000-0005-0000-0000-0000F1210000}"/>
    <cellStyle name="Note 3 5 3 2 2" xfId="7888" xr:uid="{00000000-0005-0000-0000-0000F2210000}"/>
    <cellStyle name="Note 3 5 3 2 2 2" xfId="17170" xr:uid="{3CE07782-DD07-4C70-82E0-BC477DB968E6}"/>
    <cellStyle name="Note 3 5 3 2 3" xfId="12953" xr:uid="{63C2BAB0-2C6A-448A-9822-4BB66877F61A}"/>
    <cellStyle name="Note 3 5 3 3" xfId="5743" xr:uid="{00000000-0005-0000-0000-0000F3210000}"/>
    <cellStyle name="Note 3 5 3 3 2" xfId="15025" xr:uid="{CE57B17B-D922-4376-A46F-7B56CF43DAF7}"/>
    <cellStyle name="Note 3 5 3 4" xfId="10808" xr:uid="{D96E6D16-DB67-4C9E-AC20-FDDBA6B6DC78}"/>
    <cellStyle name="Note 3 5 4" xfId="1850" xr:uid="{00000000-0005-0000-0000-0000F4210000}"/>
    <cellStyle name="Note 3 5 4 2" xfId="4079" xr:uid="{00000000-0005-0000-0000-0000F5210000}"/>
    <cellStyle name="Note 3 5 4 2 2" xfId="8301" xr:uid="{00000000-0005-0000-0000-0000F6210000}"/>
    <cellStyle name="Note 3 5 4 2 2 2" xfId="17583" xr:uid="{2279B287-E6D7-4428-B225-1374219F7545}"/>
    <cellStyle name="Note 3 5 4 2 3" xfId="13366" xr:uid="{F75FC2A6-5CAB-46B2-9850-1D40B9471909}"/>
    <cellStyle name="Note 3 5 4 3" xfId="6156" xr:uid="{00000000-0005-0000-0000-0000F7210000}"/>
    <cellStyle name="Note 3 5 4 3 2" xfId="15438" xr:uid="{D7CA306C-ED11-48C2-A024-AF9778BCF077}"/>
    <cellStyle name="Note 3 5 4 4" xfId="11221" xr:uid="{3DE0E756-18DF-464B-92E6-FF25C47FCB08}"/>
    <cellStyle name="Note 3 5 5" xfId="2263" xr:uid="{00000000-0005-0000-0000-0000F8210000}"/>
    <cellStyle name="Note 3 5 5 2" xfId="4492" xr:uid="{00000000-0005-0000-0000-0000F9210000}"/>
    <cellStyle name="Note 3 5 5 2 2" xfId="8714" xr:uid="{00000000-0005-0000-0000-0000FA210000}"/>
    <cellStyle name="Note 3 5 5 2 2 2" xfId="17996" xr:uid="{99506CD7-FAA3-43C9-99DF-0A1359E94F02}"/>
    <cellStyle name="Note 3 5 5 2 3" xfId="13779" xr:uid="{4F957C67-18D9-4EEE-9A41-BA39BFE45ED8}"/>
    <cellStyle name="Note 3 5 5 3" xfId="6569" xr:uid="{00000000-0005-0000-0000-0000FB210000}"/>
    <cellStyle name="Note 3 5 5 3 2" xfId="15851" xr:uid="{F5465143-0528-48A8-B91B-A6712F144B5B}"/>
    <cellStyle name="Note 3 5 5 4" xfId="11634" xr:uid="{D12172CA-EA2A-456D-89B6-66E0977B4AD8}"/>
    <cellStyle name="Note 3 5 6" xfId="2699" xr:uid="{00000000-0005-0000-0000-0000FC210000}"/>
    <cellStyle name="Note 3 5 6 2" xfId="6982" xr:uid="{00000000-0005-0000-0000-0000FD210000}"/>
    <cellStyle name="Note 3 5 6 2 2" xfId="16264" xr:uid="{90021364-74F0-43C8-8AEE-D07EC32B199C}"/>
    <cellStyle name="Note 3 5 6 3" xfId="12047" xr:uid="{A1593EBB-63D3-4545-915F-3B98344AB8C5}"/>
    <cellStyle name="Note 3 5 7" xfId="2758" xr:uid="{00000000-0005-0000-0000-0000FE210000}"/>
    <cellStyle name="Note 3 5 8" xfId="2839" xr:uid="{00000000-0005-0000-0000-0000FF210000}"/>
    <cellStyle name="Note 3 5 8 2" xfId="7062" xr:uid="{00000000-0005-0000-0000-000000220000}"/>
    <cellStyle name="Note 3 5 8 2 2" xfId="16344" xr:uid="{2AE7EA28-049F-437E-A9FD-8A42F61C5713}"/>
    <cellStyle name="Note 3 5 8 3" xfId="12127" xr:uid="{F572D03E-14D4-49F1-BB03-68A3BA8171BE}"/>
    <cellStyle name="Note 3 5 9" xfId="4917" xr:uid="{00000000-0005-0000-0000-000001220000}"/>
    <cellStyle name="Note 3 5 9 2" xfId="14199" xr:uid="{ACEB185B-E2BF-463A-9019-AAEAA346902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3782" xr:uid="{9CFB43EA-8564-47DA-8E35-6D34E207AB50}"/>
    <cellStyle name="Percent 3 3" xfId="9152" xr:uid="{6DE6B70A-4671-441C-98F8-F2D787AC8D0E}"/>
    <cellStyle name="Percent 4" xfId="4502" xr:uid="{00000000-0005-0000-0000-000007220000}"/>
    <cellStyle name="Percent 4 2" xfId="8717" xr:uid="{00000000-0005-0000-0000-000008220000}"/>
    <cellStyle name="Percent 4 2 2" xfId="17999" xr:uid="{47CF8067-1967-4390-B10F-AFB26BC7A83D}"/>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8015" xr:uid="{027AA23B-FF6D-448C-9EEA-577F16F6184D}"/>
    <cellStyle name="Percent 4 3 2 2 2 3" xfId="18012" xr:uid="{1FD12744-55E8-4212-9448-F9B2F38CC24F}"/>
    <cellStyle name="Percent 4 3 2 2 3" xfId="18008" xr:uid="{1B42B155-02EB-49F3-B99F-39879F3635F6}"/>
    <cellStyle name="Percent 4 3 2 3" xfId="18005" xr:uid="{CA19F8B0-E4FD-46B7-A7BF-9EDA00923F9E}"/>
    <cellStyle name="Percent 4 3 3" xfId="18002" xr:uid="{CC288504-0330-4268-9783-E5AD1D3FF13F}"/>
    <cellStyle name="Percent 4 4" xfId="13785" xr:uid="{EC88D733-A141-46A7-A67E-A231A5FD95B5}"/>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79000-21679999\21679884\L\L\EaRTH%20Center%20-%202025%202nd%20Round%204%25%20-%20Application%20(ID%2021679884).xlsx" TargetMode="External"/><Relationship Id="rId1" Type="http://schemas.openxmlformats.org/officeDocument/2006/relationships/externalLinkPath" Target="file:///M:\Danco\ID2\A3108815-C4F0-433C-9B1A-4C97292995EF\0\21679000-21679999\21679884\L\L\EaRTH%20Center%20-%202025%202nd%20Round%204%25%20-%20Application%20(ID%20216798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630">
          <cell r="AO630">
            <v>12331000</v>
          </cell>
        </row>
        <row r="631">
          <cell r="AO631">
            <v>1000000</v>
          </cell>
        </row>
        <row r="632">
          <cell r="AO632">
            <v>2000000</v>
          </cell>
        </row>
      </sheetData>
      <sheetData sheetId="4">
        <row r="105">
          <cell r="B105">
            <v>46609848</v>
          </cell>
          <cell r="D105">
            <v>4176922</v>
          </cell>
        </row>
      </sheetData>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654</v>
      </c>
      <c r="F40" s="1260" t="s">
        <v>1165</v>
      </c>
    </row>
    <row r="41" spans="1:38" s="1260"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 workbookViewId="0">
      <selection activeCell="L10" sqref="L10"/>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84" t="s">
        <v>1586</v>
      </c>
      <c r="B1" s="2684"/>
      <c r="C1" s="2684"/>
      <c r="D1" s="2684"/>
      <c r="E1" s="2684"/>
      <c r="F1" s="2684"/>
      <c r="G1" s="2684"/>
      <c r="H1" s="2684"/>
      <c r="I1" s="2684"/>
      <c r="J1" s="268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8987484</v>
      </c>
      <c r="I3" s="1105"/>
    </row>
    <row r="4" spans="1:13" s="1051" customFormat="1" ht="20.100000000000001" customHeight="1">
      <c r="B4" s="1094"/>
      <c r="D4" s="1108"/>
      <c r="F4" s="1092" t="s">
        <v>1992</v>
      </c>
      <c r="G4" s="1091" t="s">
        <v>1991</v>
      </c>
      <c r="H4" s="1093">
        <f>I18</f>
        <v>11036545</v>
      </c>
      <c r="I4" s="1095"/>
      <c r="K4" s="1055"/>
    </row>
    <row r="5" spans="1:13" s="1051" customFormat="1" ht="20.100000000000001" customHeight="1" thickBot="1">
      <c r="B5" s="1096"/>
      <c r="C5" s="1097"/>
      <c r="D5" s="1109"/>
      <c r="E5" s="1098"/>
      <c r="F5" s="1109" t="s">
        <v>1942</v>
      </c>
      <c r="G5" s="1110"/>
      <c r="H5" s="1106">
        <f>IFERROR(H3/H4,0)</f>
        <v>0.81433854526031468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7" t="s">
        <v>1940</v>
      </c>
      <c r="C8" s="2688"/>
      <c r="D8" s="2688"/>
      <c r="E8" s="2689"/>
      <c r="G8" s="2664" t="s">
        <v>1941</v>
      </c>
      <c r="H8" s="2665"/>
      <c r="I8" s="2666"/>
      <c r="K8" s="1057"/>
    </row>
    <row r="9" spans="1:13" ht="15" customHeight="1">
      <c r="A9" s="1046"/>
      <c r="B9" s="2685" t="s">
        <v>1974</v>
      </c>
      <c r="C9" s="2685"/>
      <c r="D9" s="2685"/>
      <c r="E9" s="1059">
        <f>G33</f>
        <v>2685000</v>
      </c>
      <c r="G9" s="2677" t="s">
        <v>1972</v>
      </c>
      <c r="H9" s="2677"/>
      <c r="I9" s="1060">
        <f>SUMIF(Application!M554:M565,"Loan, Tax-Exempt",Application!AM554:AM565)</f>
        <v>11036545</v>
      </c>
      <c r="K9" s="1061"/>
      <c r="M9" s="1062"/>
    </row>
    <row r="10" spans="1:13" ht="15" customHeight="1" thickBot="1">
      <c r="A10" s="1046"/>
      <c r="B10" s="2685" t="s">
        <v>1975</v>
      </c>
      <c r="C10" s="2685"/>
      <c r="D10" s="2685"/>
      <c r="E10" s="1060">
        <f>G47</f>
        <v>2172384</v>
      </c>
      <c r="G10" s="2691" t="s">
        <v>1943</v>
      </c>
      <c r="H10" s="2691"/>
      <c r="I10" s="1140">
        <f>'Basis &amp; Credits'!AB78</f>
        <v>0</v>
      </c>
      <c r="M10" s="1062"/>
    </row>
    <row r="11" spans="1:13" ht="15" customHeight="1">
      <c r="A11" s="1046"/>
      <c r="B11" s="2678" t="s">
        <v>2263</v>
      </c>
      <c r="C11" s="2679"/>
      <c r="D11" s="2680"/>
      <c r="E11" s="1060">
        <f>SUM(E12,E13)</f>
        <v>210000</v>
      </c>
      <c r="G11" s="2676" t="s">
        <v>1983</v>
      </c>
      <c r="H11" s="2676"/>
      <c r="I11" s="1139">
        <f>I9+I10</f>
        <v>11036545</v>
      </c>
      <c r="M11" s="1062"/>
    </row>
    <row r="12" spans="1:13" ht="15" customHeight="1">
      <c r="A12" s="1063"/>
      <c r="B12" s="2686" t="s">
        <v>2265</v>
      </c>
      <c r="C12" s="2686"/>
      <c r="D12" s="2686"/>
      <c r="E12" s="1165">
        <f>G56</f>
        <v>110000</v>
      </c>
      <c r="M12" s="1062"/>
    </row>
    <row r="13" spans="1:13" ht="15" customHeight="1">
      <c r="A13" s="1049"/>
      <c r="B13" s="2686" t="s">
        <v>2266</v>
      </c>
      <c r="C13" s="2686"/>
      <c r="D13" s="2686"/>
      <c r="E13" s="1165">
        <f>G65</f>
        <v>100000</v>
      </c>
      <c r="G13" s="2664" t="s">
        <v>2006</v>
      </c>
      <c r="H13" s="2665"/>
      <c r="I13" s="2666"/>
      <c r="M13" s="1062"/>
    </row>
    <row r="14" spans="1:13" ht="15" customHeight="1">
      <c r="A14" s="1049"/>
      <c r="B14" s="2678" t="s">
        <v>2264</v>
      </c>
      <c r="C14" s="2679"/>
      <c r="D14" s="2680"/>
      <c r="E14" s="1167">
        <f>MAX(E15,E16)+E17</f>
        <v>3920100</v>
      </c>
      <c r="G14" s="2677" t="s">
        <v>139</v>
      </c>
      <c r="H14" s="2677"/>
      <c r="I14" s="1064">
        <f>15%*(AND(G120="Yes",G122&lt;&gt;""))</f>
        <v>0</v>
      </c>
      <c r="M14" s="1062"/>
    </row>
    <row r="15" spans="1:13" ht="15" customHeight="1">
      <c r="A15" s="1049"/>
      <c r="B15" s="2661" t="s">
        <v>2270</v>
      </c>
      <c r="C15" s="2662"/>
      <c r="D15" s="2663"/>
      <c r="E15" s="1165">
        <f>G80</f>
        <v>0</v>
      </c>
      <c r="G15" s="1137" t="s">
        <v>1984</v>
      </c>
      <c r="H15" s="1137"/>
      <c r="I15" s="1064">
        <f>IF(Application!AJ1032&gt;0,10%,IF(Application!AJ1036&gt;0,5%,0))</f>
        <v>0</v>
      </c>
      <c r="M15" s="1062"/>
    </row>
    <row r="16" spans="1:13" ht="15" customHeight="1">
      <c r="A16" s="1049"/>
      <c r="B16" s="2661" t="s">
        <v>2269</v>
      </c>
      <c r="C16" s="2662"/>
      <c r="D16" s="2663"/>
      <c r="E16" s="1165">
        <f>G90</f>
        <v>0</v>
      </c>
      <c r="G16" s="2677" t="s">
        <v>1985</v>
      </c>
      <c r="H16" s="2677"/>
      <c r="I16" s="1064">
        <f>G132</f>
        <v>0</v>
      </c>
    </row>
    <row r="17" spans="1:21" ht="15" customHeight="1" thickBot="1">
      <c r="A17" s="1049"/>
      <c r="B17" s="2661" t="s">
        <v>2268</v>
      </c>
      <c r="C17" s="2662"/>
      <c r="D17" s="2663"/>
      <c r="E17" s="1165">
        <f>G115</f>
        <v>3920100</v>
      </c>
      <c r="G17" s="2677" t="s">
        <v>2278</v>
      </c>
      <c r="H17" s="2677"/>
      <c r="I17" s="1064">
        <f>IF(AND(G139="Yes",OR(G136,G137)),IF(G143&gt;15%,15%,G143),0)</f>
        <v>0</v>
      </c>
    </row>
    <row r="18" spans="1:21" ht="15" customHeight="1">
      <c r="A18" s="1046"/>
      <c r="B18" s="2690" t="s">
        <v>1939</v>
      </c>
      <c r="C18" s="2690"/>
      <c r="D18" s="2690"/>
      <c r="E18" s="1111">
        <f>SUM(E9:E11,E14)</f>
        <v>8987484</v>
      </c>
      <c r="G18" s="1138" t="s">
        <v>1973</v>
      </c>
      <c r="H18" s="1138"/>
      <c r="I18" s="1112">
        <f>I11-((I11*I14)+(I11*I15)+(I11*I16)+(I11*I17))</f>
        <v>11036545</v>
      </c>
      <c r="M18" s="1065">
        <f>SUM(Cdlac[Quantity])</f>
        <v>45</v>
      </c>
      <c r="O18" s="1084" t="s">
        <v>583</v>
      </c>
      <c r="P18" s="1044">
        <f>MATCH(Application!T189,Application!CB160:CB217,0)</f>
        <v>12</v>
      </c>
      <c r="T18" s="1065">
        <f>SUM(Cdlac[Population])</f>
        <v>11</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493.2</v>
      </c>
      <c r="Q20" s="1164"/>
      <c r="R20" s="1065" cm="1">
        <f t="array" ref="R20">IF(Cdlac[[#This Row],[Quantity]]&gt;0,INDEX(HudFmrs,$P$18,Cdlac[[#This Row],[Bedrooms]]+1),"")</f>
        <v>1065</v>
      </c>
      <c r="S20" s="1065">
        <f>IF(Cdlac[[#This Row],[Quantity]]&gt;0,MAX(0,Cdlac[[#This Row],[Fair Market Rent]]-IF(AND($G$37,$G$38,$G$38&lt;&gt;"",NOT(Cdlac[[#This Row],[Federal]]),Cdlac[[#This Row],[Preservation Rent]]&lt;&gt;""),Cdlac[[#This Row],[Preservation Rent]],Cdlac[[#This Row],[Restricted Rent]])),"")</f>
        <v>571.79999999999995</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822</v>
      </c>
      <c r="Q21" s="1164"/>
      <c r="R21" s="1065" cm="1">
        <f t="array" ref="R21">IF(Cdlac[[#This Row],[Quantity]]&gt;0,INDEX(HudFmrs,$P$18,Cdlac[[#This Row],[Bedrooms]]+1),"")</f>
        <v>1065</v>
      </c>
      <c r="S21" s="1065">
        <f>IF(Cdlac[[#This Row],[Quantity]]&gt;0,MAX(0,Cdlac[[#This Row],[Fair Market Rent]]-IF(AND($G$37,$G$38,$G$38&lt;&gt;"",NOT(Cdlac[[#This Row],[Federal]]),Cdlac[[#This Row],[Preservation Rent]]&lt;&gt;""),Cdlac[[#This Row],[Preservation Rent]],Cdlac[[#This Row],[Restricted Rent]])),"")</f>
        <v>243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1987</v>
      </c>
      <c r="D22" s="2668" t="s">
        <v>1988</v>
      </c>
      <c r="E22" s="2668" t="s">
        <v>1989</v>
      </c>
      <c r="F22" s="2668" t="s">
        <v>2609</v>
      </c>
      <c r="G22" s="2668" t="s">
        <v>1986</v>
      </c>
      <c r="H22" s="1070"/>
      <c r="I22" s="1069"/>
      <c r="L22" s="1044">
        <f>IFERROR(MIN(4,MATCH(Application!B720,UnitSizes,0)-1),"")</f>
        <v>1</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528.6</v>
      </c>
      <c r="Q22" s="1164"/>
      <c r="R22" s="1065" cm="1">
        <f t="array" ref="R22">IF(Cdlac[[#This Row],[Quantity]]&gt;0,INDEX(HudFmrs,$P$18,Cdlac[[#This Row],[Bedrooms]]+1),"")</f>
        <v>1132</v>
      </c>
      <c r="S22" s="1065">
        <f>IF(Cdlac[[#This Row],[Quantity]]&gt;0,MAX(0,Cdlac[[#This Row],[Fair Market Rent]]-IF(AND($G$37,$G$38,$G$38&lt;&gt;"",NOT(Cdlac[[#This Row],[Federal]]),Cdlac[[#This Row],[Preservation Rent]]&lt;&gt;""),Cdlac[[#This Row],[Preservation Rent]],Cdlac[[#This Row],[Restricted Rent]])),"")</f>
        <v>603.4</v>
      </c>
      <c r="T22" s="1044">
        <f>IF(Cdlac[[#This Row],[Quantity]]&gt;0,AND(Application!AK720&lt;&gt;"N/A",Application!AK720&lt;&gt;"")*Cdlac[[#This Row],[Quantity]],"")</f>
        <v>2</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1</v>
      </c>
      <c r="M23" s="1065">
        <f>Application!G721</f>
        <v>5</v>
      </c>
      <c r="N23" s="1071">
        <f>Application!AC721</f>
        <v>0.5</v>
      </c>
      <c r="O23" s="1071">
        <f>IF(Cdlac[[#This Row],[Quantity]]&gt;0,IF(Cdlac[[#This Row],[Federal]],30%,IF(AND(OR(NOT($G$38),$G$38=""),$G$43),40%,Cdlac[[#This Row],[iAMI]])),"")</f>
        <v>0.5</v>
      </c>
      <c r="P23" s="1065" cm="1">
        <f t="array" ref="P23">IF(Cdlac[[#This Row],[Quantity]]&gt;0,INDEX(TcacRents,$P$18,Cdlac[[#This Row],[Bedrooms]]+1)*Cdlac[[#This Row],[AMI]],"")</f>
        <v>881</v>
      </c>
      <c r="Q23" s="1164"/>
      <c r="R23" s="1065" cm="1">
        <f t="array" ref="R23">IF(Cdlac[[#This Row],[Quantity]]&gt;0,INDEX(HudFmrs,$P$18,Cdlac[[#This Row],[Bedrooms]]+1),"")</f>
        <v>1132</v>
      </c>
      <c r="S23" s="1065">
        <f>IF(Cdlac[[#This Row],[Quantity]]&gt;0,MAX(0,Cdlac[[#This Row],[Fair Market Rent]]-IF(AND($G$37,$G$38,$G$38&lt;&gt;"",NOT(Cdlac[[#This Row],[Federal]]),Cdlac[[#This Row],[Preservation Rent]]&lt;&gt;""),Cdlac[[#This Row],[Preservation Rent]],Cdlac[[#This Row],[Restricted Rent]])),"")</f>
        <v>251</v>
      </c>
      <c r="T23" s="1044">
        <f>IF(Cdlac[[#This Row],[Quantity]]&gt;0,AND(Application!AK721&lt;&gt;"N/A",Application!AK721&lt;&gt;"")*Cdlac[[#This Row],[Quantity]],"")</f>
        <v>5</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v>
      </c>
      <c r="F24" s="1072">
        <f>E24</f>
        <v>3</v>
      </c>
      <c r="G24" s="1072">
        <f>D24*F24</f>
        <v>2.7</v>
      </c>
      <c r="L24" s="1044">
        <f>IFERROR(MIN(4,MATCH(Application!B722,UnitSizes,0)-1),"")</f>
        <v>1</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1057.2</v>
      </c>
      <c r="Q24" s="1164"/>
      <c r="R24" s="1065" cm="1">
        <f t="array" ref="R24">IF(Cdlac[[#This Row],[Quantity]]&gt;0,INDEX(HudFmrs,$P$18,Cdlac[[#This Row],[Bedrooms]]+1),"")</f>
        <v>1132</v>
      </c>
      <c r="S24" s="1065">
        <f>IF(Cdlac[[#This Row],[Quantity]]&gt;0,MAX(0,Cdlac[[#This Row],[Fair Market Rent]]-IF(AND($G$37,$G$38,$G$38&lt;&gt;"",NOT(Cdlac[[#This Row],[Federal]]),Cdlac[[#This Row],[Preservation Rent]]&lt;&gt;""),Cdlac[[#This Row],[Preservation Rent]],Cdlac[[#This Row],[Restricted Rent]])),"")</f>
        <v>74.799999999999955</v>
      </c>
      <c r="T24" s="1044">
        <f>IF(Cdlac[[#This Row],[Quantity]]&gt;0,AND(Application!AK722&lt;&gt;"N/A",Application!AK722&lt;&gt;"")*Cdlac[[#This Row],[Quantity]],"")</f>
        <v>2</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1</v>
      </c>
      <c r="M25" s="1065">
        <f>Application!G723</f>
        <v>9</v>
      </c>
      <c r="N25" s="1071">
        <f>Application!AC723</f>
        <v>0.7</v>
      </c>
      <c r="O25" s="1071">
        <f>IF(Cdlac[[#This Row],[Quantity]]&gt;0,IF(Cdlac[[#This Row],[Federal]],30%,IF(AND(OR(NOT($G$38),$G$38=""),$G$43),40%,Cdlac[[#This Row],[iAMI]])),"")</f>
        <v>0.7</v>
      </c>
      <c r="P25" s="1065" cm="1">
        <f t="array" ref="P25">IF(Cdlac[[#This Row],[Quantity]]&gt;0,INDEX(TcacRents,$P$18,Cdlac[[#This Row],[Bedrooms]]+1)*Cdlac[[#This Row],[AMI]],"")</f>
        <v>1233.3999999999999</v>
      </c>
      <c r="Q25" s="1164"/>
      <c r="R25" s="1065" cm="1">
        <f t="array" ref="R25">IF(Cdlac[[#This Row],[Quantity]]&gt;0,INDEX(HudFmrs,$P$18,Cdlac[[#This Row],[Bedrooms]]+1),"")</f>
        <v>1132</v>
      </c>
      <c r="S25" s="1065">
        <f>IF(Cdlac[[#This Row],[Quantity]]&gt;0,MAX(0,Cdlac[[#This Row],[Fair Market Rent]]-IF(AND($G$37,$G$38,$G$38&lt;&gt;"",NOT(Cdlac[[#This Row],[Federal]]),Cdlac[[#This Row],[Preservation Rent]]&lt;&gt;""),Cdlac[[#This Row],[Preservation Rent]],Cdlac[[#This Row],[Restricted Rent]])),"")</f>
        <v>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12</v>
      </c>
      <c r="F26" s="1075">
        <f>SUM(E26:E28)-SUM(F27:F28)</f>
        <v>12</v>
      </c>
      <c r="G26" s="1072">
        <f>D26*F26</f>
        <v>15</v>
      </c>
      <c r="H26" s="1074"/>
      <c r="I26" s="1074"/>
      <c r="L26" s="1044">
        <f>IFERROR(MIN(4,MATCH(Application!B724,UnitSizes,0)-1),"")</f>
        <v>2</v>
      </c>
      <c r="M26" s="1065">
        <f>Application!G724</f>
        <v>1</v>
      </c>
      <c r="N26" s="1071">
        <f>Application!AC724</f>
        <v>0.3</v>
      </c>
      <c r="O26" s="1071">
        <f>IF(Cdlac[[#This Row],[Quantity]]&gt;0,IF(Cdlac[[#This Row],[Federal]],30%,IF(AND(OR(NOT($G$38),$G$38=""),$G$43),40%,Cdlac[[#This Row],[iAMI]])),"")</f>
        <v>0.3</v>
      </c>
      <c r="P26" s="1065" cm="1">
        <f t="array" ref="P26">IF(Cdlac[[#This Row],[Quantity]]&gt;0,INDEX(TcacRents,$P$18,Cdlac[[#This Row],[Bedrooms]]+1)*Cdlac[[#This Row],[AMI]],"")</f>
        <v>634.19999999999993</v>
      </c>
      <c r="Q26" s="1164"/>
      <c r="R26" s="1065" cm="1">
        <f t="array" ref="R26">IF(Cdlac[[#This Row],[Quantity]]&gt;0,INDEX(HudFmrs,$P$18,Cdlac[[#This Row],[Bedrooms]]+1),"")</f>
        <v>1478</v>
      </c>
      <c r="S26" s="1065">
        <f>IF(Cdlac[[#This Row],[Quantity]]&gt;0,MAX(0,Cdlac[[#This Row],[Fair Market Rent]]-IF(AND($G$37,$G$38,$G$38&lt;&gt;"",NOT(Cdlac[[#This Row],[Federal]]),Cdlac[[#This Row],[Preservation Rent]]&lt;&gt;""),Cdlac[[#This Row],[Preservation Rent]],Cdlac[[#This Row],[Restricted Rent]])),"")</f>
        <v>843.80000000000007</v>
      </c>
      <c r="T26" s="1044">
        <f>IF(Cdlac[[#This Row],[Quantity]]&gt;0,AND(Application!AK724&lt;&gt;"N/A",Application!AK724&lt;&gt;"")*Cdlac[[#This Row],[Quantity]],"")</f>
        <v>1</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12</v>
      </c>
      <c r="F27" s="1075">
        <f>MIN(E27,ROUNDDOWN(E29*30%,0))</f>
        <v>12</v>
      </c>
      <c r="G27" s="1072">
        <f>D27*F27</f>
        <v>18</v>
      </c>
      <c r="H27" s="1074"/>
      <c r="I27" s="1074"/>
      <c r="L27" s="1044">
        <f>IFERROR(MIN(4,MATCH(Application!B725,UnitSizes,0)-1),"")</f>
        <v>2</v>
      </c>
      <c r="M27" s="1065">
        <f>Application!G725</f>
        <v>1</v>
      </c>
      <c r="N27" s="1071">
        <f>Application!AC725</f>
        <v>0.5</v>
      </c>
      <c r="O27" s="1071">
        <f>IF(Cdlac[[#This Row],[Quantity]]&gt;0,IF(Cdlac[[#This Row],[Federal]],30%,IF(AND(OR(NOT($G$38),$G$38=""),$G$43),40%,Cdlac[[#This Row],[iAMI]])),"")</f>
        <v>0.5</v>
      </c>
      <c r="P27" s="1065" cm="1">
        <f t="array" ref="P27">IF(Cdlac[[#This Row],[Quantity]]&gt;0,INDEX(TcacRents,$P$18,Cdlac[[#This Row],[Bedrooms]]+1)*Cdlac[[#This Row],[AMI]],"")</f>
        <v>1057</v>
      </c>
      <c r="Q27" s="1164"/>
      <c r="R27" s="1065" cm="1">
        <f t="array" ref="R27">IF(Cdlac[[#This Row],[Quantity]]&gt;0,INDEX(HudFmrs,$P$18,Cdlac[[#This Row],[Bedrooms]]+1),"")</f>
        <v>1478</v>
      </c>
      <c r="S27" s="1065">
        <f>IF(Cdlac[[#This Row],[Quantity]]&gt;0,MAX(0,Cdlac[[#This Row],[Fair Market Rent]]-IF(AND($G$37,$G$38,$G$38&lt;&gt;"",NOT(Cdlac[[#This Row],[Federal]]),Cdlac[[#This Row],[Preservation Rent]]&lt;&gt;""),Cdlac[[#This Row],[Preservation Rent]],Cdlac[[#This Row],[Restricted Rent]])),"")</f>
        <v>421</v>
      </c>
      <c r="T27" s="1044">
        <f>IF(Cdlac[[#This Row],[Quantity]]&gt;0,AND(Application!AK725&lt;&gt;"N/A",Application!AK725&lt;&gt;"")*Cdlac[[#This Row],[Quantity]],"")</f>
        <v>1</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1057</v>
      </c>
      <c r="Q28" s="1164"/>
      <c r="R28" s="1065" cm="1">
        <f t="array" ref="R28">IF(Cdlac[[#This Row],[Quantity]]&gt;0,INDEX(HudFmrs,$P$18,Cdlac[[#This Row],[Bedrooms]]+1),"")</f>
        <v>1478</v>
      </c>
      <c r="S28" s="1065">
        <f>IF(Cdlac[[#This Row],[Quantity]]&gt;0,MAX(0,Cdlac[[#This Row],[Fair Market Rent]]-IF(AND($G$37,$G$38,$G$38&lt;&gt;"",NOT(Cdlac[[#This Row],[Federal]]),Cdlac[[#This Row],[Preservation Rent]]&lt;&gt;""),Cdlac[[#This Row],[Preservation Rent]],Cdlac[[#This Row],[Restricted Rent]])),"")</f>
        <v>421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0" t="s">
        <v>1587</v>
      </c>
      <c r="D29" s="2671"/>
      <c r="E29" s="1089">
        <f>SUM(E24:E28)</f>
        <v>45</v>
      </c>
      <c r="F29" s="1089">
        <f>SUM(F24:F28)</f>
        <v>45</v>
      </c>
      <c r="G29" s="1090">
        <f>SUMPRODUCT(D24:D28,F24:F28)</f>
        <v>53.7</v>
      </c>
      <c r="H29" s="1074"/>
      <c r="I29" s="1074"/>
      <c r="L29" s="1044">
        <f>IFERROR(MIN(4,MATCH(Application!B727,UnitSizes,0)-1),"")</f>
        <v>2</v>
      </c>
      <c r="M29" s="1065">
        <f>Application!G727</f>
        <v>8</v>
      </c>
      <c r="N29" s="1071">
        <f>Application!AC727</f>
        <v>0.7</v>
      </c>
      <c r="O29" s="1071">
        <f>IF(Cdlac[[#This Row],[Quantity]]&gt;0,IF(Cdlac[[#This Row],[Federal]],30%,IF(AND(OR(NOT($G$38),$G$38=""),$G$43),40%,Cdlac[[#This Row],[iAMI]])),"")</f>
        <v>0.7</v>
      </c>
      <c r="P29" s="1065" cm="1">
        <f t="array" ref="P29">IF(Cdlac[[#This Row],[Quantity]]&gt;0,INDEX(TcacRents,$P$18,Cdlac[[#This Row],[Bedrooms]]+1)*Cdlac[[#This Row],[AMI]],"")</f>
        <v>1479.8</v>
      </c>
      <c r="Q29" s="1164"/>
      <c r="R29" s="1065" cm="1">
        <f t="array" ref="R29">IF(Cdlac[[#This Row],[Quantity]]&gt;0,INDEX(HudFmrs,$P$18,Cdlac[[#This Row],[Bedrooms]]+1),"")</f>
        <v>1478</v>
      </c>
      <c r="S29" s="1065">
        <f>IF(Cdlac[[#This Row],[Quantity]]&gt;0,MAX(0,Cdlac[[#This Row],[Fair Market Rent]]-IF(AND($G$37,$G$38,$G$38&lt;&gt;"",NOT(Cdlac[[#This Row],[Federal]]),Cdlac[[#This Row],[Preservation Rent]]&lt;&gt;""),Cdlac[[#This Row],[Preservation Rent]],Cdlac[[#This Row],[Restricted Rent]])),"")</f>
        <v>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v>
      </c>
      <c r="N30" s="1071">
        <f>Application!AC728</f>
        <v>0.3</v>
      </c>
      <c r="O30" s="1071">
        <f>IF(Cdlac[[#This Row],[Quantity]]&gt;0,IF(Cdlac[[#This Row],[Federal]],30%,IF(AND(OR(NOT($G$38),$G$38=""),$G$43),40%,Cdlac[[#This Row],[iAMI]])),"")</f>
        <v>0.3</v>
      </c>
      <c r="P30" s="1065" cm="1">
        <f t="array" ref="P30">IF(Cdlac[[#This Row],[Quantity]]&gt;0,INDEX(TcacRents,$P$18,Cdlac[[#This Row],[Bedrooms]]+1)*Cdlac[[#This Row],[AMI]],"")</f>
        <v>732.6</v>
      </c>
      <c r="Q30" s="1164"/>
      <c r="R30" s="1065" cm="1">
        <f t="array" ref="R30">IF(Cdlac[[#This Row],[Quantity]]&gt;0,INDEX(HudFmrs,$P$18,Cdlac[[#This Row],[Bedrooms]]+1),"")</f>
        <v>2071</v>
      </c>
      <c r="S30" s="1065">
        <f>IF(Cdlac[[#This Row],[Quantity]]&gt;0,MAX(0,Cdlac[[#This Row],[Fair Market Rent]]-IF(AND($G$37,$G$38,$G$38&lt;&gt;"",NOT(Cdlac[[#This Row],[Federal]]),Cdlac[[#This Row],[Preservation Rent]]&lt;&gt;""),Cdlac[[#This Row],[Preservation Rent]],Cdlac[[#This Row],[Restricted Rent]])),"")</f>
        <v>1338.4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53.7</v>
      </c>
      <c r="H31" s="1074"/>
      <c r="I31" s="1074"/>
      <c r="L31" s="1044">
        <f>IFERROR(MIN(4,MATCH(Application!B729,UnitSizes,0)-1),"")</f>
        <v>3</v>
      </c>
      <c r="M31" s="1065">
        <f>Application!G729</f>
        <v>2</v>
      </c>
      <c r="N31" s="1071">
        <f>Application!AC729</f>
        <v>0.5</v>
      </c>
      <c r="O31" s="1071">
        <f>IF(Cdlac[[#This Row],[Quantity]]&gt;0,IF(Cdlac[[#This Row],[Federal]],30%,IF(AND(OR(NOT($G$38),$G$38=""),$G$43),40%,Cdlac[[#This Row],[iAMI]])),"")</f>
        <v>0.5</v>
      </c>
      <c r="P31" s="1065" cm="1">
        <f t="array" ref="P31">IF(Cdlac[[#This Row],[Quantity]]&gt;0,INDEX(TcacRents,$P$18,Cdlac[[#This Row],[Bedrooms]]+1)*Cdlac[[#This Row],[AMI]],"")</f>
        <v>1221</v>
      </c>
      <c r="Q31" s="1164"/>
      <c r="R31" s="1065" cm="1">
        <f t="array" ref="R31">IF(Cdlac[[#This Row],[Quantity]]&gt;0,INDEX(HudFmrs,$P$18,Cdlac[[#This Row],[Bedrooms]]+1),"")</f>
        <v>2071</v>
      </c>
      <c r="S31" s="1065">
        <f>IF(Cdlac[[#This Row],[Quantity]]&gt;0,MAX(0,Cdlac[[#This Row],[Fair Market Rent]]-IF(AND($G$37,$G$38,$G$38&lt;&gt;"",NOT(Cdlac[[#This Row],[Federal]]),Cdlac[[#This Row],[Preservation Rent]]&lt;&gt;""),Cdlac[[#This Row],[Preservation Rent]],Cdlac[[#This Row],[Restricted Rent]])),"")</f>
        <v>850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9</v>
      </c>
      <c r="N32" s="1071">
        <f>Application!AC730</f>
        <v>0.7</v>
      </c>
      <c r="O32" s="1071">
        <f>IF(Cdlac[[#This Row],[Quantity]]&gt;0,IF(Cdlac[[#This Row],[Federal]],30%,IF(AND(OR(NOT($G$38),$G$38=""),$G$43),40%,Cdlac[[#This Row],[iAMI]])),"")</f>
        <v>0.7</v>
      </c>
      <c r="P32" s="1065" cm="1">
        <f t="array" ref="P32">IF(Cdlac[[#This Row],[Quantity]]&gt;0,INDEX(TcacRents,$P$18,Cdlac[[#This Row],[Bedrooms]]+1)*Cdlac[[#This Row],[AMI]],"")</f>
        <v>1709.3999999999999</v>
      </c>
      <c r="Q32" s="1164"/>
      <c r="R32" s="1065" cm="1">
        <f t="array" ref="R32">IF(Cdlac[[#This Row],[Quantity]]&gt;0,INDEX(HudFmrs,$P$18,Cdlac[[#This Row],[Bedrooms]]+1),"")</f>
        <v>2071</v>
      </c>
      <c r="S32" s="1065">
        <f>IF(Cdlac[[#This Row],[Quantity]]&gt;0,MAX(0,Cdlac[[#This Row],[Fair Market Rent]]-IF(AND($G$37,$G$38,$G$38&lt;&gt;"",NOT(Cdlac[[#This Row],[Federal]]),Cdlac[[#This Row],[Preservation Rent]]&lt;&gt;""),Cdlac[[#This Row],[Preservation Rent]],Cdlac[[#This Row],[Restricted Rent]])),"")</f>
        <v>361.60000000000014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2685000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
      </c>
      <c r="D39" s="2673"/>
      <c r="E39" s="2673"/>
      <c r="F39" s="2673"/>
      <c r="G39" s="2673"/>
      <c r="H39" s="267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0.59777777777777785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12068.800000000001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2172384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v>
      </c>
    </row>
    <row r="61" spans="2:21" ht="15" customHeight="1">
      <c r="E61" s="1117" t="s">
        <v>1995</v>
      </c>
      <c r="G61" s="1079">
        <f>ROUNDDOWN(E29*50%,0)</f>
        <v>22</v>
      </c>
    </row>
    <row r="62" spans="2:21" ht="15" customHeight="1">
      <c r="E62" s="1117"/>
      <c r="G62" s="1079"/>
    </row>
    <row r="63" spans="2:21" ht="15" customHeight="1">
      <c r="E63" s="1117" t="s">
        <v>1955</v>
      </c>
      <c r="G63" s="1114">
        <f>MIN(G60:G61)</f>
        <v>5</v>
      </c>
    </row>
    <row r="64" spans="2:21" ht="15" customHeight="1">
      <c r="E64" s="1117" t="s">
        <v>1945</v>
      </c>
      <c r="F64" s="1113" t="s">
        <v>1993</v>
      </c>
      <c r="G64" s="1124">
        <v>20000</v>
      </c>
    </row>
    <row r="65" spans="2:14" ht="15" customHeight="1">
      <c r="E65" s="1118" t="s">
        <v>1977</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Low Resource</v>
      </c>
      <c r="L72" s="2681" t="s">
        <v>1970</v>
      </c>
      <c r="M72" s="2682"/>
      <c r="N72" s="1131">
        <v>30000</v>
      </c>
    </row>
    <row r="73" spans="2:14" ht="15" customHeight="1">
      <c r="C73" s="2683" t="s">
        <v>2262</v>
      </c>
      <c r="D73" s="2683"/>
      <c r="E73" s="2683"/>
      <c r="F73" s="2683"/>
      <c r="G73" s="1043"/>
      <c r="L73" s="2692" t="s">
        <v>1938</v>
      </c>
      <c r="M73" s="2693"/>
      <c r="N73" s="1132">
        <v>20000</v>
      </c>
    </row>
    <row r="74" spans="2:14" ht="15" customHeight="1" thickBot="1">
      <c r="C74" s="2683"/>
      <c r="D74" s="2683"/>
      <c r="E74" s="2683"/>
      <c r="F74" s="2683"/>
      <c r="L74" s="2694" t="s">
        <v>1971</v>
      </c>
      <c r="M74" s="2695"/>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53.7</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53.7</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53.7</v>
      </c>
    </row>
    <row r="97" spans="2:14" ht="15" customHeight="1">
      <c r="E97" s="1118" t="s">
        <v>1962</v>
      </c>
      <c r="F97" s="1046"/>
      <c r="G97" s="1123">
        <f>G94*G95*G96</f>
        <v>1503600</v>
      </c>
      <c r="L97" s="1127" t="str">
        <f>'Points System'!H638</f>
        <v>N/A</v>
      </c>
      <c r="M97" s="2700" t="s">
        <v>1406</v>
      </c>
      <c r="N97" s="2701"/>
    </row>
    <row r="98" spans="2:14" ht="15" customHeight="1">
      <c r="C98" s="1077"/>
      <c r="G98" s="1114"/>
      <c r="L98" s="1128" t="str">
        <f>'Points System'!H650</f>
        <v>(i)</v>
      </c>
      <c r="M98" s="2696" t="s">
        <v>1957</v>
      </c>
      <c r="N98" s="2697"/>
    </row>
    <row r="99" spans="2:14" ht="15" customHeight="1">
      <c r="E99" s="1084" t="s">
        <v>1998</v>
      </c>
      <c r="G99" s="1126">
        <f>COUNTIFS(L97:L104,"(i)")</f>
        <v>5</v>
      </c>
      <c r="L99" s="1128" t="str">
        <f>'Points System'!H685</f>
        <v>(i)</v>
      </c>
      <c r="M99" s="2696" t="s">
        <v>1958</v>
      </c>
      <c r="N99" s="2697"/>
    </row>
    <row r="100" spans="2:14" ht="15" customHeight="1">
      <c r="E100" s="1084" t="s">
        <v>1945</v>
      </c>
      <c r="F100" s="1113" t="s">
        <v>1993</v>
      </c>
      <c r="G100" s="1124">
        <v>4000</v>
      </c>
      <c r="L100" s="1128" t="str">
        <f>IF(OR('Points System'!H709="(ii)",'Points System'!H709="(i)"),"(i)","N/A")</f>
        <v>(i)</v>
      </c>
      <c r="M100" s="2696" t="s">
        <v>1959</v>
      </c>
      <c r="N100" s="2697"/>
    </row>
    <row r="101" spans="2:14" ht="15" customHeight="1">
      <c r="E101" s="1118" t="s">
        <v>1963</v>
      </c>
      <c r="F101" s="1046"/>
      <c r="G101" s="1123">
        <f>G96*G99*G100</f>
        <v>1074000</v>
      </c>
      <c r="L101" s="1129" t="str">
        <f>'Points System'!H723</f>
        <v>N/A</v>
      </c>
      <c r="M101" s="2696" t="s">
        <v>1432</v>
      </c>
      <c r="N101" s="2697"/>
    </row>
    <row r="102" spans="2:14" ht="15" customHeight="1">
      <c r="L102" s="1128" t="str">
        <f>'Points System'!H735</f>
        <v>N/A</v>
      </c>
      <c r="M102" s="2696" t="s">
        <v>1960</v>
      </c>
      <c r="N102" s="2697"/>
    </row>
    <row r="103" spans="2:14" ht="15" customHeight="1">
      <c r="C103" s="1080" t="s">
        <v>1965</v>
      </c>
      <c r="L103" s="1128" t="str">
        <f>'Points System'!H751</f>
        <v>(i)</v>
      </c>
      <c r="M103" s="2696" t="s">
        <v>1961</v>
      </c>
      <c r="N103" s="2697"/>
    </row>
    <row r="104" spans="2:14" ht="15" customHeight="1" thickBot="1">
      <c r="C104" s="1077" t="s">
        <v>1966</v>
      </c>
      <c r="G104" s="1043"/>
      <c r="L104" s="1130" t="str">
        <f>'Points System'!H763</f>
        <v>(i)</v>
      </c>
      <c r="M104" s="2698" t="s">
        <v>1435</v>
      </c>
      <c r="N104" s="2699"/>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53.7</v>
      </c>
    </row>
    <row r="112" spans="2:14" ht="15" customHeight="1">
      <c r="E112" s="1084" t="s">
        <v>1945</v>
      </c>
      <c r="F112" s="1113" t="s">
        <v>1993</v>
      </c>
      <c r="G112" s="1124">
        <v>25000</v>
      </c>
    </row>
    <row r="113" spans="2:9" ht="15" customHeight="1">
      <c r="E113" s="1118" t="s">
        <v>1964</v>
      </c>
      <c r="F113" s="1046"/>
      <c r="G113" s="1123">
        <f>G109*G112*G96</f>
        <v>1342500</v>
      </c>
    </row>
    <row r="114" spans="2:9" ht="15" customHeight="1">
      <c r="C114" s="1077"/>
      <c r="E114" s="1077"/>
    </row>
    <row r="115" spans="2:9" ht="15" customHeight="1">
      <c r="E115" s="1118" t="s">
        <v>2272</v>
      </c>
      <c r="G115" s="1123">
        <f>G113+G101+G97</f>
        <v>3920100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2" t="s">
        <v>2227</v>
      </c>
      <c r="D119" s="2672"/>
      <c r="E119" s="2672"/>
      <c r="F119" s="2672"/>
    </row>
    <row r="120" spans="2:9" ht="15" customHeight="1">
      <c r="C120" s="2672"/>
      <c r="D120" s="2672"/>
      <c r="E120" s="2672"/>
      <c r="F120" s="2672"/>
      <c r="G120" s="1043"/>
    </row>
    <row r="121" spans="2:9" ht="15" customHeight="1"/>
    <row r="122" spans="2:9" ht="15" customHeight="1">
      <c r="C122" s="1044" t="s">
        <v>2229</v>
      </c>
      <c r="G122" s="2674"/>
      <c r="H122" s="2674"/>
    </row>
    <row r="123" spans="2:9" ht="15" customHeight="1">
      <c r="G123" s="2674"/>
      <c r="H123" s="2674"/>
    </row>
    <row r="124" spans="2:9" ht="15" customHeight="1">
      <c r="G124" s="2675"/>
      <c r="H124" s="267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Humboldt</v>
      </c>
    </row>
    <row r="129" spans="2:9">
      <c r="E129" s="1084"/>
      <c r="G129" s="1078"/>
    </row>
    <row r="130" spans="2:9">
      <c r="E130" s="1084" t="str">
        <f>"2-Bedroom "&amp;G128&amp;" County Basis Limit"</f>
        <v>2-Bedroom Humboldt County Basis Limit</v>
      </c>
      <c r="G130" s="1078">
        <f>Application!R988</f>
        <v>489600</v>
      </c>
    </row>
    <row r="131" spans="2:9">
      <c r="E131" s="1084" t="s">
        <v>2001</v>
      </c>
      <c r="G131" s="1078">
        <f>MEDIAN((Application!CU160:CU217))</f>
        <v>489600</v>
      </c>
    </row>
    <row r="132" spans="2:9">
      <c r="D132" s="1046"/>
      <c r="E132" s="1118" t="s">
        <v>2003</v>
      </c>
      <c r="F132" s="1134"/>
      <c r="G132" s="1135">
        <f>((G130-G131)/G131)*0.25</f>
        <v>0</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67" t="s">
        <v>2275</v>
      </c>
      <c r="D138" s="2667"/>
      <c r="E138" s="2667"/>
      <c r="F138" s="2667"/>
    </row>
    <row r="139" spans="2:9">
      <c r="B139" s="1045"/>
      <c r="C139" s="2667"/>
      <c r="D139" s="2667"/>
      <c r="E139" s="2667"/>
      <c r="F139" s="2667"/>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1655481.75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3" sqref="E13"/>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556116</v>
      </c>
      <c r="G4" s="219">
        <f>E4*$C$4</f>
        <v>570018.89999999991</v>
      </c>
      <c r="I4" s="219">
        <f>G4*$C$4</f>
        <v>584269.37249999982</v>
      </c>
      <c r="K4" s="219">
        <f>I4*$C$4</f>
        <v>598876.10681249981</v>
      </c>
      <c r="M4" s="219">
        <f>K4*$C$4</f>
        <v>613848.00948281225</v>
      </c>
      <c r="O4" s="219">
        <f>M4*$C$4</f>
        <v>629194.20971988246</v>
      </c>
      <c r="Q4" s="219">
        <f>O4*$C$4</f>
        <v>644924.06496287952</v>
      </c>
      <c r="S4" s="219">
        <f>Q4*$C$4</f>
        <v>661047.16658695147</v>
      </c>
      <c r="U4" s="219">
        <f>S4*$C$4</f>
        <v>677573.34575162525</v>
      </c>
      <c r="W4" s="219">
        <f>U4*$C$4</f>
        <v>694512.67939541582</v>
      </c>
      <c r="Y4" s="219">
        <f>W4*$C$4</f>
        <v>711875.49638030119</v>
      </c>
      <c r="AA4" s="219">
        <f>Y4*$C$4</f>
        <v>729672.38378980861</v>
      </c>
      <c r="AC4" s="219">
        <f>AA4*$C$4</f>
        <v>747914.19338455377</v>
      </c>
      <c r="AE4" s="219">
        <f>AC4*$C$4</f>
        <v>766612.04821916751</v>
      </c>
      <c r="AG4" s="219">
        <f>AE4*$C$4</f>
        <v>785777.34942464659</v>
      </c>
    </row>
    <row r="5" spans="1:34" s="210" customFormat="1" ht="13.8">
      <c r="B5" s="210" t="s">
        <v>839</v>
      </c>
      <c r="C5" s="238">
        <f>IF(Application!$D$211="Special Needs",(((0.1*Application!$T$212)+(0.05*(1-Application!$T$212)))),0.05)</f>
        <v>0.05</v>
      </c>
      <c r="E5" s="221">
        <f>-E4*$C$5</f>
        <v>-27805.800000000003</v>
      </c>
      <c r="F5" s="221"/>
      <c r="G5" s="221">
        <f>-G4*$C$5</f>
        <v>-28500.944999999996</v>
      </c>
      <c r="H5" s="221"/>
      <c r="I5" s="221">
        <f>-I4*$C$5</f>
        <v>-29213.468624999994</v>
      </c>
      <c r="J5" s="221"/>
      <c r="K5" s="221">
        <f>-K4*$C$5</f>
        <v>-29943.805340624993</v>
      </c>
      <c r="L5" s="221"/>
      <c r="M5" s="221">
        <f>-M4*$C$5</f>
        <v>-30692.400474140613</v>
      </c>
      <c r="N5" s="221"/>
      <c r="O5" s="221">
        <f>-O4*$C$5</f>
        <v>-31459.710485994125</v>
      </c>
      <c r="P5" s="221"/>
      <c r="Q5" s="221">
        <f>-Q4*$C$5</f>
        <v>-32246.203248143978</v>
      </c>
      <c r="R5" s="221"/>
      <c r="S5" s="221">
        <f>-S4*$C$5</f>
        <v>-33052.358329347575</v>
      </c>
      <c r="T5" s="221"/>
      <c r="U5" s="221">
        <f>-U4*$C$5</f>
        <v>-33878.667287581266</v>
      </c>
      <c r="V5" s="221"/>
      <c r="W5" s="221">
        <f>-W4*$C$5</f>
        <v>-34725.633969770795</v>
      </c>
      <c r="X5" s="221"/>
      <c r="Y5" s="221">
        <f>-Y4*$C$5</f>
        <v>-35593.77481901506</v>
      </c>
      <c r="Z5" s="221"/>
      <c r="AA5" s="221">
        <f>-AA4*$C$5</f>
        <v>-36483.619189490433</v>
      </c>
      <c r="AB5" s="221"/>
      <c r="AC5" s="221">
        <f>-AC4*$C$5</f>
        <v>-37395.70966922769</v>
      </c>
      <c r="AD5" s="221"/>
      <c r="AE5" s="221">
        <f>-AE4*$C$5</f>
        <v>-38330.602410958374</v>
      </c>
      <c r="AF5" s="221"/>
      <c r="AG5" s="221">
        <f>-AG4*$C$5</f>
        <v>-39288.867471232334</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12000</v>
      </c>
      <c r="F8" s="222"/>
      <c r="G8" s="222">
        <f>E8*$C$8</f>
        <v>12299.999999999998</v>
      </c>
      <c r="H8" s="222"/>
      <c r="I8" s="222">
        <f>G8*$C$8</f>
        <v>12607.499999999996</v>
      </c>
      <c r="J8" s="222"/>
      <c r="K8" s="222">
        <f>I8*$C$8</f>
        <v>12922.687499999995</v>
      </c>
      <c r="L8" s="222"/>
      <c r="M8" s="222">
        <f>K8*$C$8</f>
        <v>13245.754687499993</v>
      </c>
      <c r="N8" s="222"/>
      <c r="O8" s="222">
        <f>M8*$C$8</f>
        <v>13576.898554687492</v>
      </c>
      <c r="P8" s="222"/>
      <c r="Q8" s="222">
        <f>O8*$C$8</f>
        <v>13916.321018554678</v>
      </c>
      <c r="R8" s="222"/>
      <c r="S8" s="222">
        <f>Q8*$C$8</f>
        <v>14264.229044018544</v>
      </c>
      <c r="T8" s="222"/>
      <c r="U8" s="222">
        <f>S8*$C$8</f>
        <v>14620.834770119007</v>
      </c>
      <c r="V8" s="222"/>
      <c r="W8" s="222">
        <f>U8*$C$8</f>
        <v>14986.355639371981</v>
      </c>
      <c r="X8" s="222"/>
      <c r="Y8" s="222">
        <f>W8*$C$8</f>
        <v>15361.014530356279</v>
      </c>
      <c r="Z8" s="222"/>
      <c r="AA8" s="222">
        <f>Y8*$C$8</f>
        <v>15745.039893615183</v>
      </c>
      <c r="AB8" s="222"/>
      <c r="AC8" s="222">
        <f>AA8*$C$8</f>
        <v>16138.665890955561</v>
      </c>
      <c r="AD8" s="222"/>
      <c r="AE8" s="222">
        <f>AC8*$C$8</f>
        <v>16542.132538229449</v>
      </c>
      <c r="AF8" s="222"/>
      <c r="AG8" s="222">
        <f>AE8*$C$8</f>
        <v>16955.685851685183</v>
      </c>
    </row>
    <row r="9" spans="1:34" s="210" customFormat="1" ht="13.8">
      <c r="B9" s="210" t="s">
        <v>839</v>
      </c>
      <c r="C9" s="238">
        <f>IF(Application!$D$211="Special Needs",(((0.1*Application!$T$212)+(0.05*(1-Application!$T$212)))),0.05)</f>
        <v>0.05</v>
      </c>
      <c r="E9" s="221">
        <f>-E8*$C$9</f>
        <v>-600</v>
      </c>
      <c r="F9" s="221"/>
      <c r="G9" s="221">
        <f>-G8*$C$9</f>
        <v>-615</v>
      </c>
      <c r="H9" s="221"/>
      <c r="I9" s="221">
        <f>-I8*$C$9</f>
        <v>-630.37499999999989</v>
      </c>
      <c r="J9" s="221"/>
      <c r="K9" s="221">
        <f>-K8*$C$9</f>
        <v>-646.13437499999975</v>
      </c>
      <c r="L9" s="221"/>
      <c r="M9" s="221">
        <f>-M8*$C$9</f>
        <v>-662.28773437499967</v>
      </c>
      <c r="N9" s="221"/>
      <c r="O9" s="221">
        <f>-O8*$C$9</f>
        <v>-678.84492773437466</v>
      </c>
      <c r="P9" s="221"/>
      <c r="Q9" s="221">
        <f>-Q8*$C$9</f>
        <v>-695.81605092773395</v>
      </c>
      <c r="R9" s="221"/>
      <c r="S9" s="221">
        <f>-S8*$C$9</f>
        <v>-713.21145220092728</v>
      </c>
      <c r="T9" s="221"/>
      <c r="U9" s="221">
        <f>-U8*$C$9</f>
        <v>-731.04173850595043</v>
      </c>
      <c r="V9" s="221"/>
      <c r="W9" s="221">
        <f>-W8*$C$9</f>
        <v>-749.31778196859909</v>
      </c>
      <c r="X9" s="221"/>
      <c r="Y9" s="221">
        <f>-Y8*$C$9</f>
        <v>-768.05072651781393</v>
      </c>
      <c r="Z9" s="221"/>
      <c r="AA9" s="221">
        <f>-AA8*$C$9</f>
        <v>-787.25199468075925</v>
      </c>
      <c r="AB9" s="221"/>
      <c r="AC9" s="221">
        <f>-AC8*$C$9</f>
        <v>-806.93329454777813</v>
      </c>
      <c r="AD9" s="221"/>
      <c r="AE9" s="221">
        <f>-AE8*$C$9</f>
        <v>-827.10662691147252</v>
      </c>
      <c r="AF9" s="221"/>
      <c r="AG9" s="221">
        <f>-AG8*$C$9</f>
        <v>-847.78429258425922</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539710.19999999995</v>
      </c>
      <c r="G11" s="223">
        <f>SUM(G4:G10)</f>
        <v>553202.95499999996</v>
      </c>
      <c r="I11" s="223">
        <f>SUM(I4:I10)</f>
        <v>567033.02887499984</v>
      </c>
      <c r="K11" s="223">
        <f>SUM(K4:K10)</f>
        <v>581208.85459687479</v>
      </c>
      <c r="M11" s="223">
        <f>SUM(M4:M10)</f>
        <v>595739.07596179657</v>
      </c>
      <c r="O11" s="223">
        <f>SUM(O4:O10)</f>
        <v>610632.5528608415</v>
      </c>
      <c r="Q11" s="223">
        <f>SUM(Q4:Q10)</f>
        <v>625898.36668236239</v>
      </c>
      <c r="S11" s="223">
        <f>SUM(S4:S10)</f>
        <v>641545.82584942156</v>
      </c>
      <c r="U11" s="223">
        <f>SUM(U4:U10)</f>
        <v>657584.47149565711</v>
      </c>
      <c r="W11" s="223">
        <f>SUM(W4:W10)</f>
        <v>674024.08328304847</v>
      </c>
      <c r="Y11" s="223">
        <f>SUM(Y4:Y10)</f>
        <v>690874.68536512461</v>
      </c>
      <c r="AA11" s="223">
        <f>SUM(AA4:AA10)</f>
        <v>708146.5524992526</v>
      </c>
      <c r="AC11" s="223">
        <f>SUM(AC4:AC10)</f>
        <v>725850.21631173394</v>
      </c>
      <c r="AE11" s="223">
        <f>SUM(AE4:AE10)</f>
        <v>743996.47171952715</v>
      </c>
      <c r="AG11" s="223">
        <f>SUM(AG4:AG10)</f>
        <v>762596.38351251523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20000</v>
      </c>
      <c r="G15" s="219">
        <f>E15*$C$14</f>
        <v>20700</v>
      </c>
      <c r="I15" s="219">
        <f>G15*$C$14</f>
        <v>21424.5</v>
      </c>
      <c r="K15" s="219">
        <f>I15*$C$14</f>
        <v>22174.357499999998</v>
      </c>
      <c r="M15" s="219">
        <f>K15*$C$14</f>
        <v>22950.460012499996</v>
      </c>
      <c r="O15" s="219">
        <f>M15*$C$14</f>
        <v>23753.726112937493</v>
      </c>
      <c r="Q15" s="219">
        <f>O15*$C$14</f>
        <v>24585.106526890304</v>
      </c>
      <c r="S15" s="219">
        <f>Q15*$C$14</f>
        <v>25445.585255331462</v>
      </c>
      <c r="U15" s="219">
        <f>S15*$C$14</f>
        <v>26336.18073926806</v>
      </c>
      <c r="W15" s="219">
        <f>U15*$C$14</f>
        <v>27257.947065142442</v>
      </c>
      <c r="Y15" s="219">
        <f>W15*$C$14</f>
        <v>28211.975212422425</v>
      </c>
      <c r="AA15" s="219">
        <f>Y15*$C$14</f>
        <v>29199.394344857206</v>
      </c>
      <c r="AC15" s="219">
        <f>AA15*$C$14</f>
        <v>30221.373146927206</v>
      </c>
      <c r="AE15" s="219">
        <f>AC15*$C$14</f>
        <v>31279.121207069657</v>
      </c>
      <c r="AG15" s="219">
        <f>AE15*$C$14</f>
        <v>32373.890449317092</v>
      </c>
    </row>
    <row r="16" spans="1:34" s="210" customFormat="1" ht="13.8">
      <c r="A16" s="210" t="s">
        <v>344</v>
      </c>
      <c r="C16" s="233"/>
      <c r="E16" s="222">
        <f>Application!W849</f>
        <v>32383</v>
      </c>
      <c r="F16" s="222"/>
      <c r="G16" s="222">
        <f t="shared" ref="G16:AG21" si="0">E16*$C$14</f>
        <v>33516.404999999999</v>
      </c>
      <c r="H16" s="222"/>
      <c r="I16" s="222">
        <f t="shared" si="0"/>
        <v>34689.479174999993</v>
      </c>
      <c r="J16" s="222"/>
      <c r="K16" s="222">
        <f t="shared" si="0"/>
        <v>35903.610946124987</v>
      </c>
      <c r="L16" s="222"/>
      <c r="M16" s="222">
        <f t="shared" si="0"/>
        <v>37160.23732923936</v>
      </c>
      <c r="N16" s="222"/>
      <c r="O16" s="222">
        <f t="shared" si="0"/>
        <v>38460.845635762736</v>
      </c>
      <c r="P16" s="222"/>
      <c r="Q16" s="222">
        <f t="shared" si="0"/>
        <v>39806.975233014426</v>
      </c>
      <c r="R16" s="222"/>
      <c r="S16" s="222">
        <f t="shared" si="0"/>
        <v>41200.219366169928</v>
      </c>
      <c r="T16" s="222"/>
      <c r="U16" s="222">
        <f t="shared" si="0"/>
        <v>42642.227043985869</v>
      </c>
      <c r="V16" s="222"/>
      <c r="W16" s="222">
        <f t="shared" si="0"/>
        <v>44134.704990525373</v>
      </c>
      <c r="X16" s="222"/>
      <c r="Y16" s="222">
        <f t="shared" si="0"/>
        <v>45679.41966519376</v>
      </c>
      <c r="Z16" s="222"/>
      <c r="AA16" s="222">
        <f t="shared" si="0"/>
        <v>47278.199353475538</v>
      </c>
      <c r="AB16" s="222"/>
      <c r="AC16" s="222">
        <f t="shared" si="0"/>
        <v>48932.93633084718</v>
      </c>
      <c r="AD16" s="222"/>
      <c r="AE16" s="222">
        <f t="shared" si="0"/>
        <v>50645.589102426828</v>
      </c>
      <c r="AF16" s="222"/>
      <c r="AG16" s="222">
        <f t="shared" si="0"/>
        <v>52418.184721011763</v>
      </c>
    </row>
    <row r="17" spans="1:33" s="210" customFormat="1" ht="13.8">
      <c r="A17" s="210" t="s">
        <v>562</v>
      </c>
      <c r="C17" s="233"/>
      <c r="E17" s="222">
        <f>Application!W855</f>
        <v>40000</v>
      </c>
      <c r="F17" s="222"/>
      <c r="G17" s="222">
        <f t="shared" si="0"/>
        <v>41400</v>
      </c>
      <c r="H17" s="222"/>
      <c r="I17" s="222">
        <f t="shared" si="0"/>
        <v>42849</v>
      </c>
      <c r="J17" s="222"/>
      <c r="K17" s="222">
        <f t="shared" si="0"/>
        <v>44348.714999999997</v>
      </c>
      <c r="L17" s="222"/>
      <c r="M17" s="222">
        <f t="shared" si="0"/>
        <v>45900.920024999992</v>
      </c>
      <c r="N17" s="222"/>
      <c r="O17" s="222">
        <f t="shared" si="0"/>
        <v>47507.452225874986</v>
      </c>
      <c r="P17" s="222"/>
      <c r="Q17" s="222">
        <f t="shared" si="0"/>
        <v>49170.213053780608</v>
      </c>
      <c r="R17" s="222"/>
      <c r="S17" s="222">
        <f t="shared" si="0"/>
        <v>50891.170510662923</v>
      </c>
      <c r="T17" s="222"/>
      <c r="U17" s="222">
        <f t="shared" si="0"/>
        <v>52672.361478536121</v>
      </c>
      <c r="V17" s="222"/>
      <c r="W17" s="222">
        <f t="shared" si="0"/>
        <v>54515.894130284883</v>
      </c>
      <c r="X17" s="222"/>
      <c r="Y17" s="222">
        <f t="shared" si="0"/>
        <v>56423.95042484485</v>
      </c>
      <c r="Z17" s="222"/>
      <c r="AA17" s="222">
        <f t="shared" si="0"/>
        <v>58398.788689714413</v>
      </c>
      <c r="AB17" s="222"/>
      <c r="AC17" s="222">
        <f t="shared" si="0"/>
        <v>60442.746293854412</v>
      </c>
      <c r="AD17" s="222"/>
      <c r="AE17" s="222">
        <f t="shared" si="0"/>
        <v>62558.242414139313</v>
      </c>
      <c r="AF17" s="222"/>
      <c r="AG17" s="222">
        <f t="shared" si="0"/>
        <v>64747.780898634184</v>
      </c>
    </row>
    <row r="18" spans="1:33" s="210" customFormat="1" ht="13.8">
      <c r="A18" s="210" t="s">
        <v>843</v>
      </c>
      <c r="C18" s="233"/>
      <c r="E18" s="222">
        <f>Application!W862</f>
        <v>26000</v>
      </c>
      <c r="F18" s="222"/>
      <c r="G18" s="222">
        <f t="shared" si="0"/>
        <v>26909.999999999996</v>
      </c>
      <c r="H18" s="222"/>
      <c r="I18" s="222">
        <f t="shared" si="0"/>
        <v>27851.849999999995</v>
      </c>
      <c r="J18" s="222"/>
      <c r="K18" s="222">
        <f t="shared" si="0"/>
        <v>28826.664749999993</v>
      </c>
      <c r="L18" s="222"/>
      <c r="M18" s="222">
        <f t="shared" si="0"/>
        <v>29835.598016249991</v>
      </c>
      <c r="N18" s="222"/>
      <c r="O18" s="222">
        <f t="shared" si="0"/>
        <v>30879.843946818739</v>
      </c>
      <c r="P18" s="222"/>
      <c r="Q18" s="222">
        <f t="shared" si="0"/>
        <v>31960.638484957391</v>
      </c>
      <c r="R18" s="222"/>
      <c r="S18" s="222">
        <f t="shared" si="0"/>
        <v>33079.2608319309</v>
      </c>
      <c r="T18" s="222"/>
      <c r="U18" s="222">
        <f t="shared" si="0"/>
        <v>34237.034961048477</v>
      </c>
      <c r="V18" s="222"/>
      <c r="W18" s="222">
        <f t="shared" si="0"/>
        <v>35435.331184685172</v>
      </c>
      <c r="X18" s="222"/>
      <c r="Y18" s="222">
        <f t="shared" si="0"/>
        <v>36675.567776149153</v>
      </c>
      <c r="Z18" s="222"/>
      <c r="AA18" s="222">
        <f t="shared" si="0"/>
        <v>37959.212648314373</v>
      </c>
      <c r="AB18" s="222"/>
      <c r="AC18" s="222">
        <f t="shared" si="0"/>
        <v>39287.785091005375</v>
      </c>
      <c r="AD18" s="222"/>
      <c r="AE18" s="222">
        <f t="shared" si="0"/>
        <v>40662.857569190557</v>
      </c>
      <c r="AF18" s="222"/>
      <c r="AG18" s="222">
        <f t="shared" si="0"/>
        <v>42086.057584112226</v>
      </c>
    </row>
    <row r="19" spans="1:33" s="210" customFormat="1" ht="13.8">
      <c r="A19" s="210" t="s">
        <v>155</v>
      </c>
      <c r="C19" s="233"/>
      <c r="E19" s="222">
        <f>Application!W863</f>
        <v>80000</v>
      </c>
      <c r="F19" s="222"/>
      <c r="G19" s="222">
        <f t="shared" si="0"/>
        <v>82800</v>
      </c>
      <c r="H19" s="222"/>
      <c r="I19" s="222">
        <f t="shared" si="0"/>
        <v>85698</v>
      </c>
      <c r="J19" s="222"/>
      <c r="K19" s="222">
        <f t="shared" si="0"/>
        <v>88697.43</v>
      </c>
      <c r="L19" s="222"/>
      <c r="M19" s="222">
        <f t="shared" si="0"/>
        <v>91801.840049999984</v>
      </c>
      <c r="N19" s="222"/>
      <c r="O19" s="222">
        <f t="shared" si="0"/>
        <v>95014.904451749971</v>
      </c>
      <c r="P19" s="222"/>
      <c r="Q19" s="222">
        <f t="shared" si="0"/>
        <v>98340.426107561216</v>
      </c>
      <c r="R19" s="222"/>
      <c r="S19" s="222">
        <f t="shared" si="0"/>
        <v>101782.34102132585</v>
      </c>
      <c r="T19" s="222"/>
      <c r="U19" s="222">
        <f t="shared" si="0"/>
        <v>105344.72295707224</v>
      </c>
      <c r="V19" s="222"/>
      <c r="W19" s="222">
        <f t="shared" si="0"/>
        <v>109031.78826056977</v>
      </c>
      <c r="X19" s="222"/>
      <c r="Y19" s="222">
        <f t="shared" si="0"/>
        <v>112847.9008496897</v>
      </c>
      <c r="Z19" s="222"/>
      <c r="AA19" s="222">
        <f t="shared" si="0"/>
        <v>116797.57737942883</v>
      </c>
      <c r="AB19" s="222"/>
      <c r="AC19" s="222">
        <f t="shared" si="0"/>
        <v>120885.49258770882</v>
      </c>
      <c r="AD19" s="222"/>
      <c r="AE19" s="222">
        <f t="shared" si="0"/>
        <v>125116.48482827863</v>
      </c>
      <c r="AF19" s="222"/>
      <c r="AG19" s="222">
        <f t="shared" si="0"/>
        <v>129495.56179726837</v>
      </c>
    </row>
    <row r="20" spans="1:33" s="210" customFormat="1" ht="13.8">
      <c r="A20" s="210" t="s">
        <v>390</v>
      </c>
      <c r="C20" s="233"/>
      <c r="E20" s="222">
        <f>Application!W872</f>
        <v>36499</v>
      </c>
      <c r="F20" s="222"/>
      <c r="G20" s="222">
        <f t="shared" si="0"/>
        <v>37776.464999999997</v>
      </c>
      <c r="H20" s="222"/>
      <c r="I20" s="222">
        <f t="shared" si="0"/>
        <v>39098.641274999994</v>
      </c>
      <c r="J20" s="222"/>
      <c r="K20" s="222">
        <f t="shared" si="0"/>
        <v>40467.093719624994</v>
      </c>
      <c r="L20" s="222"/>
      <c r="M20" s="222">
        <f t="shared" si="0"/>
        <v>41883.441999811868</v>
      </c>
      <c r="N20" s="222"/>
      <c r="O20" s="222">
        <f t="shared" si="0"/>
        <v>43349.362469805281</v>
      </c>
      <c r="P20" s="222"/>
      <c r="Q20" s="222">
        <f t="shared" si="0"/>
        <v>44866.590156248465</v>
      </c>
      <c r="R20" s="222"/>
      <c r="S20" s="222">
        <f t="shared" si="0"/>
        <v>46436.920811717158</v>
      </c>
      <c r="T20" s="222"/>
      <c r="U20" s="222">
        <f t="shared" si="0"/>
        <v>48062.213040127252</v>
      </c>
      <c r="V20" s="222"/>
      <c r="W20" s="222">
        <f t="shared" si="0"/>
        <v>49744.390496531705</v>
      </c>
      <c r="X20" s="222"/>
      <c r="Y20" s="222">
        <f t="shared" si="0"/>
        <v>51485.44416391031</v>
      </c>
      <c r="Z20" s="222"/>
      <c r="AA20" s="222">
        <f t="shared" si="0"/>
        <v>53287.434709647168</v>
      </c>
      <c r="AB20" s="222"/>
      <c r="AC20" s="222">
        <f t="shared" si="0"/>
        <v>55152.494924484818</v>
      </c>
      <c r="AD20" s="222"/>
      <c r="AE20" s="222">
        <f t="shared" si="0"/>
        <v>57082.832246841783</v>
      </c>
      <c r="AF20" s="222"/>
      <c r="AG20" s="222">
        <f t="shared" si="0"/>
        <v>59080.731375481242</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234882</v>
      </c>
      <c r="G22" s="223">
        <f>SUM(G15:G21)</f>
        <v>243102.87</v>
      </c>
      <c r="I22" s="223">
        <f>SUM(I15:I21)</f>
        <v>251611.47044999996</v>
      </c>
      <c r="K22" s="223">
        <f>SUM(K15:K21)</f>
        <v>260417.87191574997</v>
      </c>
      <c r="M22" s="223">
        <f>SUM(M15:M21)</f>
        <v>269532.49743280117</v>
      </c>
      <c r="O22" s="223">
        <f>SUM(O15:O21)</f>
        <v>278966.13484294922</v>
      </c>
      <c r="Q22" s="223">
        <f>SUM(Q15:Q21)</f>
        <v>288729.94956245238</v>
      </c>
      <c r="S22" s="223">
        <f>SUM(S15:S21)</f>
        <v>298835.49779713823</v>
      </c>
      <c r="U22" s="223">
        <f>SUM(U15:U21)</f>
        <v>309294.74022003805</v>
      </c>
      <c r="W22" s="223">
        <f>SUM(W15:W21)</f>
        <v>320120.05612773937</v>
      </c>
      <c r="Y22" s="223">
        <f>SUM(Y15:Y21)</f>
        <v>331324.25809221022</v>
      </c>
      <c r="AA22" s="223">
        <f>SUM(AA15:AA21)</f>
        <v>342920.60712543747</v>
      </c>
      <c r="AC22" s="223">
        <f>SUM(AC15:AC21)</f>
        <v>354922.8283748278</v>
      </c>
      <c r="AE22" s="223">
        <f>SUM(AE15:AE21)</f>
        <v>367345.12736794678</v>
      </c>
      <c r="AG22" s="223">
        <f>SUM(AG15:AG21)</f>
        <v>380202.20682582486</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10000</v>
      </c>
      <c r="F27" s="222"/>
      <c r="G27" s="222">
        <f>E27*$C$27</f>
        <v>10350</v>
      </c>
      <c r="H27" s="222"/>
      <c r="I27" s="222">
        <f>G27*$C$27</f>
        <v>10712.25</v>
      </c>
      <c r="J27" s="222"/>
      <c r="K27" s="222">
        <f>I27*$C$27</f>
        <v>11087.178749999999</v>
      </c>
      <c r="L27" s="222"/>
      <c r="M27" s="222">
        <f>K27*$C$27</f>
        <v>11475.230006249998</v>
      </c>
      <c r="N27" s="222"/>
      <c r="O27" s="222">
        <f>M27*$C$27</f>
        <v>11876.863056468746</v>
      </c>
      <c r="P27" s="222"/>
      <c r="Q27" s="222">
        <f>O27*$C$27</f>
        <v>12292.553263445152</v>
      </c>
      <c r="R27" s="222"/>
      <c r="S27" s="222">
        <f>Q27*$C$27</f>
        <v>12722.792627665731</v>
      </c>
      <c r="T27" s="222"/>
      <c r="U27" s="222">
        <f>S27*$C$27</f>
        <v>13168.09036963403</v>
      </c>
      <c r="V27" s="222"/>
      <c r="W27" s="222">
        <f>U27*$C$27</f>
        <v>13628.973532571221</v>
      </c>
      <c r="X27" s="222"/>
      <c r="Y27" s="222">
        <f>W27*$C$27</f>
        <v>14105.987606211213</v>
      </c>
      <c r="Z27" s="222"/>
      <c r="AA27" s="222">
        <f>Y27*$C$27</f>
        <v>14599.697172428603</v>
      </c>
      <c r="AB27" s="222"/>
      <c r="AC27" s="222">
        <f>AA27*$C$27</f>
        <v>15110.686573463603</v>
      </c>
      <c r="AD27" s="222"/>
      <c r="AE27" s="222">
        <f>AC27*$C$27</f>
        <v>15639.560603534828</v>
      </c>
      <c r="AF27" s="222"/>
      <c r="AG27" s="222">
        <f>AE27*$C$27</f>
        <v>16186.945224658546</v>
      </c>
    </row>
    <row r="28" spans="1:33" s="210" customFormat="1" ht="13.8">
      <c r="A28" s="210" t="s">
        <v>847</v>
      </c>
      <c r="C28" s="237"/>
      <c r="E28" s="222">
        <f>Application!AC889</f>
        <v>23000</v>
      </c>
      <c r="F28" s="222"/>
      <c r="G28" s="222">
        <f>$E$28</f>
        <v>23000</v>
      </c>
      <c r="H28" s="222"/>
      <c r="I28" s="222">
        <f>$E$28</f>
        <v>23000</v>
      </c>
      <c r="J28" s="222"/>
      <c r="K28" s="222">
        <f>$E$28</f>
        <v>23000</v>
      </c>
      <c r="L28" s="222"/>
      <c r="M28" s="222">
        <f>$E$28</f>
        <v>23000</v>
      </c>
      <c r="N28" s="222"/>
      <c r="O28" s="222">
        <f>$E$28</f>
        <v>23000</v>
      </c>
      <c r="P28" s="222"/>
      <c r="Q28" s="222">
        <f>$E$28</f>
        <v>23000</v>
      </c>
      <c r="R28" s="222"/>
      <c r="S28" s="222">
        <f>$E$28</f>
        <v>23000</v>
      </c>
      <c r="T28" s="222"/>
      <c r="U28" s="222">
        <f>$E$28</f>
        <v>23000</v>
      </c>
      <c r="V28" s="222"/>
      <c r="W28" s="222">
        <f>$E$28</f>
        <v>23000</v>
      </c>
      <c r="X28" s="222"/>
      <c r="Y28" s="222">
        <f>$E$28</f>
        <v>23000</v>
      </c>
      <c r="Z28" s="222"/>
      <c r="AA28" s="222">
        <f>$E$28</f>
        <v>23000</v>
      </c>
      <c r="AB28" s="222"/>
      <c r="AC28" s="222">
        <f>$E$28</f>
        <v>23000</v>
      </c>
      <c r="AD28" s="222"/>
      <c r="AE28" s="222">
        <f>$E$28</f>
        <v>23000</v>
      </c>
      <c r="AF28" s="222"/>
      <c r="AG28" s="222">
        <f>$E$28</f>
        <v>23000</v>
      </c>
    </row>
    <row r="29" spans="1:33" s="210" customFormat="1" ht="13.8">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267882</v>
      </c>
      <c r="G35" s="223">
        <f>SUM(G22:G33)</f>
        <v>276452.87</v>
      </c>
      <c r="I35" s="223">
        <f>SUM(I22:I33)</f>
        <v>285323.72044999996</v>
      </c>
      <c r="K35" s="223">
        <f>SUM(K22:K33)</f>
        <v>294505.05066574999</v>
      </c>
      <c r="M35" s="223">
        <f>SUM(M22:M33)</f>
        <v>304007.72743905114</v>
      </c>
      <c r="O35" s="223">
        <f>SUM(O22:O33)</f>
        <v>313842.99789941794</v>
      </c>
      <c r="Q35" s="223">
        <f>SUM(Q22:Q33)</f>
        <v>324022.50282589754</v>
      </c>
      <c r="S35" s="223">
        <f>SUM(S22:S33)</f>
        <v>334558.29042480397</v>
      </c>
      <c r="U35" s="223">
        <f>SUM(U22:U33)</f>
        <v>345462.83058967208</v>
      </c>
      <c r="W35" s="223">
        <f>SUM(W22:W33)</f>
        <v>356749.0296603106</v>
      </c>
      <c r="Y35" s="223">
        <f>SUM(Y22:Y33)</f>
        <v>368430.24569842144</v>
      </c>
      <c r="AA35" s="223">
        <f>SUM(AA22:AA33)</f>
        <v>380520.30429786607</v>
      </c>
      <c r="AC35" s="223">
        <f>SUM(AC22:AC33)</f>
        <v>393033.51494829141</v>
      </c>
      <c r="AE35" s="223">
        <f>SUM(AE22:AE33)</f>
        <v>405984.68797148159</v>
      </c>
      <c r="AG35" s="223">
        <f>SUM(AG22:AG33)</f>
        <v>419389.15205048339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271828.19999999995</v>
      </c>
      <c r="G37" s="223">
        <f>G11-G35</f>
        <v>276750.08499999996</v>
      </c>
      <c r="I37" s="223">
        <f>I11-I35</f>
        <v>281709.30842499988</v>
      </c>
      <c r="K37" s="223">
        <f>K11-K35</f>
        <v>286703.8039311248</v>
      </c>
      <c r="M37" s="223">
        <f>M11-M35</f>
        <v>291731.34852274542</v>
      </c>
      <c r="O37" s="223">
        <f>O11-O35</f>
        <v>296789.55496142356</v>
      </c>
      <c r="Q37" s="223">
        <f>Q11-Q35</f>
        <v>301875.86385646486</v>
      </c>
      <c r="S37" s="223">
        <f>S11-S35</f>
        <v>306987.53542461758</v>
      </c>
      <c r="U37" s="223">
        <f>U11-U35</f>
        <v>312121.64090598503</v>
      </c>
      <c r="W37" s="223">
        <f>W11-W35</f>
        <v>317275.05362273788</v>
      </c>
      <c r="Y37" s="223">
        <f>Y11-Y35</f>
        <v>322444.43966670317</v>
      </c>
      <c r="AA37" s="223">
        <f>AA11-AA35</f>
        <v>327626.24820138654</v>
      </c>
      <c r="AC37" s="223">
        <f>AC11-AC35</f>
        <v>332816.70136344252</v>
      </c>
      <c r="AE37" s="223">
        <f>AE11-AE35</f>
        <v>338011.78374804556</v>
      </c>
      <c r="AG37" s="223">
        <f>AG11-AG35</f>
        <v>343207.23146203184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Bank Perm Loan</v>
      </c>
      <c r="B40" s="226"/>
      <c r="C40" s="220"/>
      <c r="E40" s="222">
        <f>Application!AF627</f>
        <v>236372</v>
      </c>
      <c r="F40" s="222"/>
      <c r="G40" s="222">
        <f>$E$40</f>
        <v>236372</v>
      </c>
      <c r="H40" s="222"/>
      <c r="I40" s="222">
        <f>$E$40</f>
        <v>236372</v>
      </c>
      <c r="J40" s="222"/>
      <c r="K40" s="222">
        <f>$E$40</f>
        <v>236372</v>
      </c>
      <c r="L40" s="222"/>
      <c r="M40" s="222">
        <f>$E$40</f>
        <v>236372</v>
      </c>
      <c r="N40" s="222"/>
      <c r="O40" s="222">
        <f>$E$40</f>
        <v>236372</v>
      </c>
      <c r="P40" s="222"/>
      <c r="Q40" s="222">
        <f>$E$40</f>
        <v>236372</v>
      </c>
      <c r="R40" s="222"/>
      <c r="S40" s="222">
        <f>$E$40</f>
        <v>236372</v>
      </c>
      <c r="T40" s="222"/>
      <c r="U40" s="222">
        <f>$E$40</f>
        <v>236372</v>
      </c>
      <c r="V40" s="222"/>
      <c r="W40" s="222">
        <f>$E$40</f>
        <v>236372</v>
      </c>
      <c r="X40" s="222"/>
      <c r="Y40" s="222">
        <f>$E$40</f>
        <v>236372</v>
      </c>
      <c r="Z40" s="222"/>
      <c r="AA40" s="222">
        <f>$E$40</f>
        <v>236372</v>
      </c>
      <c r="AB40" s="222"/>
      <c r="AC40" s="222">
        <f>$E$40</f>
        <v>236372</v>
      </c>
      <c r="AD40" s="222"/>
      <c r="AE40" s="222">
        <f>$E$40</f>
        <v>236372</v>
      </c>
      <c r="AF40" s="222"/>
      <c r="AG40" s="222">
        <f>$E$40</f>
        <v>236372</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236372</v>
      </c>
      <c r="G43" s="223">
        <f>SUM(G40:G42)</f>
        <v>236372</v>
      </c>
      <c r="I43" s="223">
        <f>SUM(I40:I42)</f>
        <v>236372</v>
      </c>
      <c r="K43" s="223">
        <f>SUM(K40:K42)</f>
        <v>236372</v>
      </c>
      <c r="M43" s="223">
        <f>SUM(M40:M42)</f>
        <v>236372</v>
      </c>
      <c r="O43" s="223">
        <f>SUM(O40:O42)</f>
        <v>236372</v>
      </c>
      <c r="Q43" s="223">
        <f>SUM(Q40:Q42)</f>
        <v>236372</v>
      </c>
      <c r="S43" s="223">
        <f>SUM(S40:S42)</f>
        <v>236372</v>
      </c>
      <c r="U43" s="223">
        <f>SUM(U40:U42)</f>
        <v>236372</v>
      </c>
      <c r="W43" s="223">
        <f>SUM(W40:W42)</f>
        <v>236372</v>
      </c>
      <c r="Y43" s="223">
        <f>SUM(Y40:Y42)</f>
        <v>236372</v>
      </c>
      <c r="AA43" s="223">
        <f>SUM(AA40:AA42)</f>
        <v>236372</v>
      </c>
      <c r="AC43" s="223">
        <f>SUM(AC40:AC42)</f>
        <v>236372</v>
      </c>
      <c r="AE43" s="223">
        <f>SUM(AE40:AE42)</f>
        <v>236372</v>
      </c>
      <c r="AG43" s="223">
        <f>SUM(AG40:AG42)</f>
        <v>236372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35456.199999999953</v>
      </c>
      <c r="G45" s="223">
        <f>G37-G43</f>
        <v>40378.084999999963</v>
      </c>
      <c r="I45" s="223">
        <f>I37-I43</f>
        <v>45337.308424999879</v>
      </c>
      <c r="K45" s="223">
        <f>K37-K43</f>
        <v>50331.803931124799</v>
      </c>
      <c r="M45" s="223">
        <f>M37-M43</f>
        <v>55359.348522745422</v>
      </c>
      <c r="O45" s="223">
        <f>O37-O43</f>
        <v>60417.554961423564</v>
      </c>
      <c r="Q45" s="223">
        <f>Q37-Q43</f>
        <v>65503.863856464857</v>
      </c>
      <c r="S45" s="223">
        <f>S37-S43</f>
        <v>70615.535424617585</v>
      </c>
      <c r="U45" s="223">
        <f>U37-U43</f>
        <v>75749.640905985027</v>
      </c>
      <c r="W45" s="223">
        <f>W37-W43</f>
        <v>80903.053622737876</v>
      </c>
      <c r="Y45" s="223">
        <f>Y37-Y43</f>
        <v>86072.439666703169</v>
      </c>
      <c r="AA45" s="223">
        <f>AA37-AA43</f>
        <v>91254.248201386537</v>
      </c>
      <c r="AC45" s="223">
        <f>AC37-AC43</f>
        <v>96444.701363442524</v>
      </c>
      <c r="AE45" s="223">
        <f>AE37-AE43</f>
        <v>101639.78374804556</v>
      </c>
      <c r="AG45" s="223">
        <f>AG37-AG43</f>
        <v>106835.23146203184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6.2410141590801799E-2</v>
      </c>
      <c r="G47" s="227">
        <f>G45/(G4+G6+G8)</f>
        <v>6.934015880302008E-2</v>
      </c>
      <c r="I47" s="227">
        <f>I45/(I4+I6+I8)</f>
        <v>7.5957555927918599E-2</v>
      </c>
      <c r="K47" s="227">
        <f>K45/(K4+K6+K8)</f>
        <v>8.2268556916141766E-2</v>
      </c>
      <c r="M47" s="227">
        <f>M45/(M4+M6+M8)</f>
        <v>8.8279220247054466E-2</v>
      </c>
      <c r="O47" s="227">
        <f>O45/(O4+O6+O8)</f>
        <v>9.3995442831284262E-2</v>
      </c>
      <c r="Q47" s="227">
        <f>Q45/(Q4+Q6+Q8)</f>
        <v>9.9422963816779009E-2</v>
      </c>
      <c r="S47" s="227">
        <f>S45/(S4+S6+S8)</f>
        <v>0.10456736830072105</v>
      </c>
      <c r="U47" s="227">
        <f>U45/(U4+U6+U8)</f>
        <v>0.10943409094957778</v>
      </c>
      <c r="W47" s="227">
        <f>W45/(W4+W6+W8)</f>
        <v>0.11402841952952208</v>
      </c>
      <c r="Y47" s="227">
        <f>Y45/(Y4+Y6+Y8)</f>
        <v>0.11835549834939098</v>
      </c>
      <c r="AA47" s="227">
        <f>AA45/(AA4+AA6+AA8)</f>
        <v>0.12242033161830398</v>
      </c>
      <c r="AC47" s="227">
        <f>AC45/(AC4+AC6+AC8)</f>
        <v>0.12622778672000962</v>
      </c>
      <c r="AE47" s="227">
        <f>AE45/(AE4+AE6+AE8)</f>
        <v>0.12978259740597772</v>
      </c>
      <c r="AG47" s="227">
        <f>AG45/(AG4+AG6+AG8)</f>
        <v>0.13308936690920539</v>
      </c>
    </row>
    <row r="48" spans="1:33" s="227" customFormat="1" ht="13.8">
      <c r="A48" s="227" t="s">
        <v>853</v>
      </c>
      <c r="C48" s="220"/>
      <c r="E48" s="227">
        <f>E45/E43</f>
        <v>0.15000169224781257</v>
      </c>
      <c r="G48" s="227">
        <f>G45/G43</f>
        <v>0.17082431506269763</v>
      </c>
      <c r="I48" s="227">
        <f>I45/I43</f>
        <v>0.19180490254767857</v>
      </c>
      <c r="K48" s="227">
        <f>K45/K43</f>
        <v>0.21293471278799858</v>
      </c>
      <c r="M48" s="227">
        <f>M45/M43</f>
        <v>0.23420434113492894</v>
      </c>
      <c r="O48" s="227">
        <f>O45/O43</f>
        <v>0.25560368809090572</v>
      </c>
      <c r="Q48" s="227">
        <f>Q45/Q43</f>
        <v>0.27712192584766748</v>
      </c>
      <c r="S48" s="227">
        <f>S45/S43</f>
        <v>0.29874746342467629</v>
      </c>
      <c r="U48" s="227">
        <f>U45/U43</f>
        <v>0.32046791035310879</v>
      </c>
      <c r="W48" s="227">
        <f>W45/W43</f>
        <v>0.34227003884867019</v>
      </c>
      <c r="Y48" s="227">
        <f>Y45/Y43</f>
        <v>0.36413974441432645</v>
      </c>
      <c r="AA48" s="227">
        <f>AA45/AA43</f>
        <v>0.38606200481184971</v>
      </c>
      <c r="AC48" s="227">
        <f>AC45/AC43</f>
        <v>0.40802083733878175</v>
      </c>
      <c r="AE48" s="227">
        <f>AE45/AE43</f>
        <v>0.42999925434503899</v>
      </c>
      <c r="AG48" s="227">
        <f>AG45/AG43</f>
        <v>0.45197921692092058</v>
      </c>
    </row>
    <row r="49" spans="1:34" s="228" customFormat="1" ht="13.8">
      <c r="A49" s="228" t="s">
        <v>851</v>
      </c>
      <c r="C49" s="229"/>
      <c r="E49" s="228">
        <f>E37/E43</f>
        <v>1.1500016922478127</v>
      </c>
      <c r="G49" s="228">
        <f>G37/G43</f>
        <v>1.1708243150626976</v>
      </c>
      <c r="I49" s="228">
        <f>I37/I43</f>
        <v>1.1918049025476787</v>
      </c>
      <c r="K49" s="228">
        <f>K37/K43</f>
        <v>1.2129347127879986</v>
      </c>
      <c r="M49" s="228">
        <f>M37/M43</f>
        <v>1.2342043411349288</v>
      </c>
      <c r="O49" s="228">
        <f>O37/O43</f>
        <v>1.2556036880909056</v>
      </c>
      <c r="Q49" s="228">
        <f>Q37/Q43</f>
        <v>1.2771219258476674</v>
      </c>
      <c r="S49" s="228">
        <f>S37/S43</f>
        <v>1.2987474634246763</v>
      </c>
      <c r="U49" s="228">
        <f>U37/U43</f>
        <v>1.3204679103531087</v>
      </c>
      <c r="W49" s="228">
        <f>W37/W43</f>
        <v>1.3422700388486701</v>
      </c>
      <c r="Y49" s="228">
        <f>Y37/Y43</f>
        <v>1.3641397444143264</v>
      </c>
      <c r="AA49" s="228">
        <f>AA37/AA43</f>
        <v>1.3860620048118497</v>
      </c>
      <c r="AC49" s="228">
        <f>AC37/AC43</f>
        <v>1.4080208373387817</v>
      </c>
      <c r="AE49" s="228">
        <f>AE37/AE43</f>
        <v>1.4299992543450391</v>
      </c>
      <c r="AG49" s="228">
        <f>AG37/AG43</f>
        <v>1.4519792169209205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4" t="s">
        <v>1185</v>
      </c>
      <c r="B52" s="2704"/>
      <c r="C52" s="270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f>+Application!AO629</f>
        <v>1062290</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35456.199999999953</v>
      </c>
      <c r="G60" s="962">
        <f>G45-G58</f>
        <v>40378.084999999963</v>
      </c>
      <c r="I60" s="962">
        <f>I45-I58</f>
        <v>45337.308424999879</v>
      </c>
      <c r="K60" s="962">
        <f>K45-K58</f>
        <v>50331.803931124799</v>
      </c>
      <c r="M60" s="962">
        <f>M45-M58</f>
        <v>55359.348522745422</v>
      </c>
      <c r="O60" s="962">
        <f>O45-O58</f>
        <v>60417.554961423564</v>
      </c>
      <c r="Q60" s="962">
        <f>Q45-Q58</f>
        <v>65503.863856464857</v>
      </c>
      <c r="S60" s="962">
        <f>S45-S58</f>
        <v>70615.535424617585</v>
      </c>
      <c r="U60" s="962">
        <f>U45-U58</f>
        <v>75749.640905985027</v>
      </c>
      <c r="W60" s="962">
        <f>W45-W58</f>
        <v>80903.053622737876</v>
      </c>
      <c r="Y60" s="962">
        <f>Y45-Y58</f>
        <v>86072.439666703169</v>
      </c>
      <c r="AA60" s="962">
        <f>AA45-AA58</f>
        <v>91254.248201386537</v>
      </c>
      <c r="AC60" s="962">
        <f>AC45-AC58</f>
        <v>96444.701363442524</v>
      </c>
      <c r="AE60" s="962">
        <f>AE45-AE58</f>
        <v>101639.78374804556</v>
      </c>
      <c r="AG60" s="962">
        <f>+C59-SUM(E60:AE60)</f>
        <v>106826.43237032345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35456.199999999953</v>
      </c>
      <c r="G62" s="962">
        <f>G60*$C$62</f>
        <v>40378.084999999963</v>
      </c>
      <c r="I62" s="962">
        <f>I60*$C$62</f>
        <v>45337.308424999879</v>
      </c>
      <c r="K62" s="962">
        <f>K60*$C$62</f>
        <v>50331.803931124799</v>
      </c>
      <c r="M62" s="962">
        <f>M60*$C$62</f>
        <v>55359.348522745422</v>
      </c>
      <c r="O62" s="962">
        <f>O60*$C$62</f>
        <v>60417.554961423564</v>
      </c>
      <c r="Q62" s="962">
        <f>Q60*$C$62</f>
        <v>65503.863856464857</v>
      </c>
      <c r="S62" s="962">
        <f>S60*$C$62</f>
        <v>70615.535424617585</v>
      </c>
      <c r="U62" s="962">
        <f>U60*$C$62</f>
        <v>75749.640905985027</v>
      </c>
      <c r="W62" s="962">
        <f>W60*$C$62</f>
        <v>80903.053622737876</v>
      </c>
      <c r="Y62" s="962">
        <f>Y60*$C$62</f>
        <v>86072.439666703169</v>
      </c>
      <c r="AA62" s="962">
        <f>AA60*$C$62</f>
        <v>91254.248201386537</v>
      </c>
      <c r="AC62" s="962">
        <f>AC60*$C$62</f>
        <v>96444.701363442524</v>
      </c>
      <c r="AE62" s="962">
        <f>AE60*$C$62</f>
        <v>101639.78374804556</v>
      </c>
      <c r="AG62" s="962">
        <f>AG60*$C$62</f>
        <v>106826.43237032345</v>
      </c>
    </row>
    <row r="63" spans="1:34" s="962" customFormat="1">
      <c r="A63" s="2704" t="s">
        <v>1185</v>
      </c>
      <c r="B63" s="2704"/>
      <c r="C63" s="270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702" t="s">
        <v>1722</v>
      </c>
      <c r="B77" s="2703"/>
      <c r="C77" s="2703"/>
      <c r="D77" s="2703"/>
      <c r="E77" s="2703"/>
      <c r="F77" s="2703"/>
      <c r="G77" s="2703"/>
      <c r="H77" s="2703"/>
      <c r="I77" s="2703"/>
      <c r="J77" s="2703"/>
      <c r="K77" s="2703"/>
      <c r="L77" s="2703"/>
      <c r="M77" s="2703"/>
      <c r="N77" s="2703"/>
      <c r="O77" s="2703"/>
      <c r="P77" s="2703"/>
      <c r="Q77" s="2703"/>
      <c r="R77" s="2703"/>
      <c r="S77" s="2703"/>
      <c r="T77" s="2703"/>
      <c r="U77" s="2703"/>
      <c r="V77" s="2703"/>
      <c r="W77" s="2703"/>
      <c r="X77" s="2703"/>
      <c r="Y77" s="2703"/>
      <c r="Z77" s="2703"/>
      <c r="AA77" s="2703"/>
      <c r="AB77" s="2703"/>
      <c r="AC77" s="2703"/>
      <c r="AD77" s="2703"/>
      <c r="AE77" s="2703"/>
      <c r="AF77" s="2703"/>
      <c r="AG77" s="270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705" t="s">
        <v>910</v>
      </c>
      <c r="B1" s="2705"/>
      <c r="C1" s="2705"/>
      <c r="D1" s="2705"/>
      <c r="E1" s="2705"/>
      <c r="F1" s="2705"/>
      <c r="G1" s="2705"/>
      <c r="H1" s="2705"/>
      <c r="I1" s="2705"/>
      <c r="J1" s="2705"/>
      <c r="K1" s="204"/>
      <c r="L1" s="204"/>
    </row>
    <row r="2" spans="1:12">
      <c r="A2" s="210"/>
      <c r="B2" s="210"/>
      <c r="C2" s="210"/>
      <c r="D2" s="210"/>
      <c r="E2" s="210"/>
      <c r="F2" s="210"/>
      <c r="G2" s="210"/>
      <c r="H2" s="210"/>
      <c r="I2" s="210"/>
      <c r="J2" s="210"/>
    </row>
    <row r="3" spans="1:12" ht="83.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v>
      </c>
      <c r="C4" s="1162"/>
      <c r="D4" s="428">
        <f>Application!O718</f>
        <v>481</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2</v>
      </c>
      <c r="C5" s="1162"/>
      <c r="D5" s="428">
        <f>Application!O719</f>
        <v>810</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516</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869</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1045</v>
      </c>
      <c r="E8" s="429"/>
      <c r="F8" s="1083"/>
      <c r="G8" s="428">
        <f t="shared" si="2"/>
        <v>0</v>
      </c>
      <c r="H8" s="429"/>
      <c r="I8" s="428" t="str">
        <f t="shared" si="0"/>
        <v/>
      </c>
      <c r="J8" s="428" t="str">
        <f t="shared" si="1"/>
        <v/>
      </c>
      <c r="K8" s="204"/>
      <c r="L8" s="305"/>
    </row>
    <row r="9" spans="1:12">
      <c r="A9" s="428" t="str">
        <f>Application!B723</f>
        <v>1 Bedroom</v>
      </c>
      <c r="B9" s="1082">
        <f>Application!G723</f>
        <v>9</v>
      </c>
      <c r="C9" s="1162"/>
      <c r="D9" s="428">
        <f>Application!O723</f>
        <v>1221</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622</v>
      </c>
      <c r="E10" s="429"/>
      <c r="F10" s="1083"/>
      <c r="G10" s="428">
        <f t="shared" si="2"/>
        <v>0</v>
      </c>
      <c r="H10" s="429"/>
      <c r="I10" s="428" t="str">
        <f t="shared" si="0"/>
        <v/>
      </c>
      <c r="J10" s="428" t="str">
        <f t="shared" si="1"/>
        <v/>
      </c>
      <c r="K10" s="204"/>
      <c r="L10" s="305"/>
    </row>
    <row r="11" spans="1:12">
      <c r="A11" s="428" t="str">
        <f>Application!B725</f>
        <v>2 Bedrooms</v>
      </c>
      <c r="B11" s="1082">
        <f>Application!G725</f>
        <v>1</v>
      </c>
      <c r="C11" s="1162"/>
      <c r="D11" s="428">
        <f>Application!O725</f>
        <v>1045</v>
      </c>
      <c r="E11" s="429"/>
      <c r="F11" s="1083"/>
      <c r="G11" s="428">
        <f t="shared" si="2"/>
        <v>0</v>
      </c>
      <c r="H11" s="429"/>
      <c r="I11" s="428" t="str">
        <f t="shared" si="0"/>
        <v/>
      </c>
      <c r="J11" s="428" t="str">
        <f t="shared" si="1"/>
        <v/>
      </c>
      <c r="K11" s="204"/>
      <c r="L11" s="305"/>
    </row>
    <row r="12" spans="1:12">
      <c r="A12" s="428" t="str">
        <f>Application!B726</f>
        <v>2 Bedrooms</v>
      </c>
      <c r="B12" s="1082">
        <f>Application!G726</f>
        <v>2</v>
      </c>
      <c r="C12" s="1162"/>
      <c r="D12" s="428">
        <f>Application!O726</f>
        <v>1045</v>
      </c>
      <c r="E12" s="429"/>
      <c r="F12" s="1083"/>
      <c r="G12" s="428">
        <f t="shared" si="2"/>
        <v>0</v>
      </c>
      <c r="H12" s="429"/>
      <c r="I12" s="428" t="str">
        <f t="shared" si="0"/>
        <v/>
      </c>
      <c r="J12" s="428" t="str">
        <f t="shared" si="1"/>
        <v/>
      </c>
      <c r="K12" s="204"/>
      <c r="L12" s="305"/>
    </row>
    <row r="13" spans="1:12">
      <c r="A13" s="428" t="str">
        <f>Application!B727</f>
        <v>2 Bedrooms</v>
      </c>
      <c r="B13" s="1082">
        <f>Application!G727</f>
        <v>8</v>
      </c>
      <c r="C13" s="1162"/>
      <c r="D13" s="428">
        <f>Application!O727</f>
        <v>1048</v>
      </c>
      <c r="E13" s="429"/>
      <c r="F13" s="1083"/>
      <c r="G13" s="428">
        <f t="shared" si="2"/>
        <v>0</v>
      </c>
      <c r="H13" s="429"/>
      <c r="I13" s="428" t="str">
        <f t="shared" si="0"/>
        <v/>
      </c>
      <c r="J13" s="428" t="str">
        <f t="shared" si="1"/>
        <v/>
      </c>
      <c r="K13" s="204"/>
      <c r="L13" s="305"/>
    </row>
    <row r="14" spans="1:12">
      <c r="A14" s="428" t="str">
        <f>Application!B728</f>
        <v>3 Bedrooms</v>
      </c>
      <c r="B14" s="1082">
        <f>Application!G728</f>
        <v>1</v>
      </c>
      <c r="C14" s="1162"/>
      <c r="D14" s="428">
        <f>Application!O728</f>
        <v>720</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1175</v>
      </c>
      <c r="E15" s="429"/>
      <c r="F15" s="1083"/>
      <c r="G15" s="428">
        <f t="shared" si="2"/>
        <v>0</v>
      </c>
      <c r="H15" s="429"/>
      <c r="I15" s="428" t="str">
        <f t="shared" si="0"/>
        <v/>
      </c>
      <c r="J15" s="428" t="str">
        <f t="shared" si="1"/>
        <v/>
      </c>
      <c r="K15" s="204"/>
      <c r="L15" s="305"/>
    </row>
    <row r="16" spans="1:12">
      <c r="A16" s="428" t="str">
        <f>Application!B730</f>
        <v>3 Bedrooms</v>
      </c>
      <c r="B16" s="1082">
        <f>Application!G730</f>
        <v>9</v>
      </c>
      <c r="C16" s="1162"/>
      <c r="D16" s="428">
        <f>Application!O730</f>
        <v>1175</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46343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706" t="s">
        <v>2496</v>
      </c>
      <c r="B43" s="2706"/>
      <c r="C43" s="2706"/>
      <c r="D43" s="2706"/>
      <c r="E43" s="2706"/>
      <c r="F43" s="2706"/>
      <c r="G43" s="2706"/>
      <c r="H43" s="2706"/>
      <c r="I43" s="2706"/>
      <c r="J43" s="2706"/>
    </row>
    <row r="44" spans="1:12">
      <c r="A44" s="2706"/>
      <c r="B44" s="2706"/>
      <c r="C44" s="2706"/>
      <c r="D44" s="2706"/>
      <c r="E44" s="2706"/>
      <c r="F44" s="2706"/>
      <c r="G44" s="2706"/>
      <c r="H44" s="2706"/>
      <c r="I44" s="2706"/>
      <c r="J44" s="2706"/>
    </row>
    <row r="45" spans="1:12">
      <c r="A45" s="2706" t="s">
        <v>2258</v>
      </c>
      <c r="B45" s="2706"/>
      <c r="C45" s="2706"/>
      <c r="D45" s="2706"/>
      <c r="E45" s="2706"/>
      <c r="F45" s="2706"/>
      <c r="G45" s="2706"/>
      <c r="H45" s="2706"/>
      <c r="I45" s="2706"/>
      <c r="J45" s="2706"/>
    </row>
    <row r="46" spans="1:12">
      <c r="A46" s="2706"/>
      <c r="B46" s="2706"/>
      <c r="C46" s="2706"/>
      <c r="D46" s="2706"/>
      <c r="E46" s="2706"/>
      <c r="F46" s="2706"/>
      <c r="G46" s="2706"/>
      <c r="H46" s="2706"/>
      <c r="I46" s="2706"/>
      <c r="J46" s="270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1890000</v>
      </c>
      <c r="C5" s="266">
        <f>'Sources and Uses Budget'!$C4</f>
        <v>1890000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1890000</v>
      </c>
      <c r="C9" s="270">
        <f>SUM(C5:C8)</f>
        <v>1890000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1890000</v>
      </c>
      <c r="C13" s="270">
        <f>SUM(C9+C12)</f>
        <v>1890000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1282976</v>
      </c>
      <c r="C30" s="266">
        <f>'Sources and Uses Budget'!$C29</f>
        <v>1282976</v>
      </c>
      <c r="D30" s="270">
        <f t="shared" si="0"/>
        <v>0</v>
      </c>
      <c r="E30" s="268"/>
      <c r="F30" s="267"/>
    </row>
    <row r="31" spans="1:6" s="352" customFormat="1">
      <c r="A31" s="145" t="s">
        <v>600</v>
      </c>
      <c r="B31" s="266">
        <f>'Sources and Uses Budget'!$C30</f>
        <v>19556548</v>
      </c>
      <c r="C31" s="266">
        <f>'Sources and Uses Budget'!$C30</f>
        <v>19556548</v>
      </c>
      <c r="D31" s="270">
        <f t="shared" si="0"/>
        <v>0</v>
      </c>
      <c r="E31" s="268"/>
      <c r="F31" s="267"/>
    </row>
    <row r="32" spans="1:6" s="352" customFormat="1">
      <c r="A32" s="145" t="s">
        <v>601</v>
      </c>
      <c r="B32" s="266">
        <f>'Sources and Uses Budget'!$C31</f>
        <v>1250371</v>
      </c>
      <c r="C32" s="266">
        <f>'Sources and Uses Budget'!$C31</f>
        <v>1250371</v>
      </c>
      <c r="D32" s="270">
        <f t="shared" si="0"/>
        <v>0</v>
      </c>
      <c r="E32" s="268"/>
      <c r="F32" s="267"/>
    </row>
    <row r="33" spans="1:6" s="352" customFormat="1">
      <c r="A33" s="145" t="s">
        <v>137</v>
      </c>
      <c r="B33" s="266">
        <f>'Sources and Uses Budget'!$C32</f>
        <v>441798</v>
      </c>
      <c r="C33" s="266">
        <f>'Sources and Uses Budget'!$C32</f>
        <v>441798</v>
      </c>
      <c r="D33" s="270">
        <f t="shared" si="0"/>
        <v>0</v>
      </c>
      <c r="E33" s="268"/>
      <c r="F33" s="267"/>
    </row>
    <row r="34" spans="1:6" s="352" customFormat="1">
      <c r="A34" s="145" t="s">
        <v>138</v>
      </c>
      <c r="B34" s="266">
        <f>'Sources and Uses Budget'!$C33</f>
        <v>1325394</v>
      </c>
      <c r="C34" s="266">
        <f>'Sources and Uses Budget'!$C33</f>
        <v>1325394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715713</v>
      </c>
      <c r="C36" s="266">
        <f>'Sources and Uses Budget'!$C35</f>
        <v>715713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24572800</v>
      </c>
      <c r="C39" s="270">
        <f>SUM(C30:C38)</f>
        <v>24572800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477142</v>
      </c>
      <c r="C41" s="266">
        <f>'Sources and Uses Budget'!$C40</f>
        <v>477142</v>
      </c>
      <c r="D41" s="270">
        <f t="shared" si="0"/>
        <v>0</v>
      </c>
      <c r="E41" s="268"/>
      <c r="F41" s="267"/>
    </row>
    <row r="42" spans="1:6" s="352" customFormat="1">
      <c r="A42" s="269" t="s">
        <v>146</v>
      </c>
      <c r="B42" s="266">
        <f>'Sources and Uses Budget'!$C41</f>
        <v>477142</v>
      </c>
      <c r="C42" s="266">
        <f>'Sources and Uses Budget'!$C41</f>
        <v>477142</v>
      </c>
      <c r="D42" s="270">
        <f t="shared" si="0"/>
        <v>0</v>
      </c>
      <c r="E42" s="268"/>
      <c r="F42" s="267"/>
    </row>
    <row r="43" spans="1:6" s="352" customFormat="1">
      <c r="A43" s="271" t="s">
        <v>147</v>
      </c>
      <c r="B43" s="270">
        <f>SUM(B41:B42)</f>
        <v>954284</v>
      </c>
      <c r="C43" s="270">
        <f>SUM(C41:C42)</f>
        <v>954284</v>
      </c>
      <c r="D43" s="270">
        <f t="shared" si="0"/>
        <v>0</v>
      </c>
      <c r="E43" s="268"/>
      <c r="F43" s="267"/>
    </row>
    <row r="44" spans="1:6" s="352" customFormat="1">
      <c r="A44" s="271" t="s">
        <v>148</v>
      </c>
      <c r="B44" s="266">
        <f>'Sources and Uses Budget'!$C43</f>
        <v>225000</v>
      </c>
      <c r="C44" s="266">
        <f>'Sources and Uses Budget'!$C43</f>
        <v>225000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1500000</v>
      </c>
      <c r="C46" s="266">
        <f>'Sources and Uses Budget'!$C45</f>
        <v>1500000</v>
      </c>
      <c r="D46" s="270">
        <f t="shared" si="0"/>
        <v>0</v>
      </c>
      <c r="E46" s="268"/>
      <c r="F46" s="267"/>
    </row>
    <row r="47" spans="1:6" s="352" customFormat="1">
      <c r="A47" s="145" t="s">
        <v>151</v>
      </c>
      <c r="B47" s="266">
        <f>'Sources and Uses Budget'!$C46</f>
        <v>193745</v>
      </c>
      <c r="C47" s="266">
        <f>'Sources and Uses Budget'!$C46</f>
        <v>193745</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178656</v>
      </c>
      <c r="C50" s="266">
        <f>'Sources and Uses Budget'!$C49</f>
        <v>178656</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42000</v>
      </c>
      <c r="C52" s="266">
        <f>'Sources and Uses Budget'!$C51</f>
        <v>42000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18000</v>
      </c>
      <c r="C54" s="266">
        <f>'Sources and Uses Budget'!$C53</f>
        <v>18000</v>
      </c>
      <c r="D54" s="270">
        <f t="shared" si="0"/>
        <v>0</v>
      </c>
      <c r="E54" s="268"/>
      <c r="F54" s="267"/>
    </row>
    <row r="55" spans="1:6" s="353" customFormat="1">
      <c r="A55" s="271" t="s">
        <v>157</v>
      </c>
      <c r="B55" s="273">
        <f>SUM(B46:B54)</f>
        <v>2007401</v>
      </c>
      <c r="C55" s="273">
        <f>SUM(C46:C54)</f>
        <v>2007401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15000</v>
      </c>
      <c r="C63" s="270">
        <f>SUM(C57:C62)</f>
        <v>15000</v>
      </c>
      <c r="D63" s="270">
        <f t="shared" si="0"/>
        <v>0</v>
      </c>
      <c r="E63" s="268"/>
      <c r="F63" s="267"/>
    </row>
    <row r="64" spans="1:6" s="352" customFormat="1">
      <c r="A64" s="274" t="s">
        <v>302</v>
      </c>
      <c r="B64" s="270">
        <f>SUM(B9+B12+B14+B15+B17+B26+B28+B39+B43+B44+B55+B63)</f>
        <v>29664485</v>
      </c>
      <c r="C64" s="270">
        <f>SUM(C9+C12+C14+C15+C17+C26+C28+C39+C43+C44+C55+C63)</f>
        <v>29664485</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58500</v>
      </c>
      <c r="C66" s="266">
        <f>'Sources and Uses Budget'!$C65</f>
        <v>58500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45000</v>
      </c>
      <c r="C70" s="266">
        <f>'Sources and Uses Budget'!$C69</f>
        <v>45000</v>
      </c>
      <c r="D70" s="270">
        <f t="shared" si="0"/>
        <v>0</v>
      </c>
      <c r="E70" s="268"/>
      <c r="F70" s="267"/>
    </row>
    <row r="71" spans="1:6" s="352" customFormat="1">
      <c r="A71" s="149" t="s">
        <v>1646</v>
      </c>
      <c r="B71" s="270">
        <f>SUM(B66:B70)</f>
        <v>103500</v>
      </c>
      <c r="C71" s="270">
        <f>SUM(C66:C70)</f>
        <v>103500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126064</v>
      </c>
      <c r="C76" s="266">
        <f>'Sources and Uses Budget'!$C75</f>
        <v>126064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156064</v>
      </c>
      <c r="C78" s="270">
        <f>SUM(C73:C77)</f>
        <v>156064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1228640</v>
      </c>
      <c r="C80" s="266">
        <f>'Sources and Uses Budget'!$C79</f>
        <v>1228640</v>
      </c>
      <c r="D80" s="270">
        <f t="shared" si="1"/>
        <v>0</v>
      </c>
      <c r="E80" s="268"/>
      <c r="F80" s="267"/>
    </row>
    <row r="81" spans="1:6" s="352" customFormat="1">
      <c r="A81" s="510" t="s">
        <v>58</v>
      </c>
      <c r="B81" s="266">
        <f>'Sources and Uses Budget'!$C80</f>
        <v>162296</v>
      </c>
      <c r="C81" s="266">
        <f>'Sources and Uses Budget'!$C80</f>
        <v>162296</v>
      </c>
      <c r="D81" s="270">
        <f>C81-B81</f>
        <v>0</v>
      </c>
      <c r="E81" s="268"/>
      <c r="F81" s="267"/>
    </row>
    <row r="82" spans="1:6" s="352" customFormat="1">
      <c r="A82" s="271" t="s">
        <v>1210</v>
      </c>
      <c r="B82" s="270">
        <f>SUM(B80:B81)</f>
        <v>1390936</v>
      </c>
      <c r="C82" s="270">
        <f>SUM(C80:C81)</f>
        <v>1390936</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121934</v>
      </c>
      <c r="C84" s="266">
        <f>'Sources and Uses Budget'!$C83</f>
        <v>121934</v>
      </c>
      <c r="D84" s="270">
        <f t="shared" si="1"/>
        <v>0</v>
      </c>
      <c r="E84" s="268"/>
      <c r="F84" s="267"/>
    </row>
    <row r="85" spans="1:6" s="352" customFormat="1">
      <c r="A85" s="269" t="s">
        <v>768</v>
      </c>
      <c r="B85" s="266">
        <f>'Sources and Uses Budget'!$C84</f>
        <v>6300</v>
      </c>
      <c r="C85" s="266">
        <f>'Sources and Uses Budget'!$C84</f>
        <v>6300</v>
      </c>
      <c r="D85" s="270">
        <f t="shared" si="1"/>
        <v>0</v>
      </c>
      <c r="E85" s="268"/>
      <c r="F85" s="267"/>
    </row>
    <row r="86" spans="1:6" s="352" customFormat="1">
      <c r="A86" s="269" t="s">
        <v>769</v>
      </c>
      <c r="B86" s="266">
        <f>'Sources and Uses Budget'!$C85</f>
        <v>652544</v>
      </c>
      <c r="C86" s="266">
        <f>'Sources and Uses Budget'!$C85</f>
        <v>652544</v>
      </c>
      <c r="D86" s="270">
        <f t="shared" si="1"/>
        <v>0</v>
      </c>
      <c r="E86" s="268"/>
      <c r="F86" s="267"/>
    </row>
    <row r="87" spans="1:6" s="352" customFormat="1">
      <c r="A87" s="269" t="s">
        <v>770</v>
      </c>
      <c r="B87" s="266">
        <f>'Sources and Uses Budget'!$C86</f>
        <v>450000</v>
      </c>
      <c r="C87" s="266">
        <f>'Sources and Uses Budget'!$C86</f>
        <v>450000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69490</v>
      </c>
      <c r="C89" s="266">
        <f>'Sources and Uses Budget'!$C88</f>
        <v>69490</v>
      </c>
      <c r="D89" s="270">
        <f t="shared" si="1"/>
        <v>0</v>
      </c>
      <c r="E89" s="268"/>
      <c r="F89" s="267"/>
    </row>
    <row r="90" spans="1:6" s="352" customFormat="1">
      <c r="A90" s="269" t="s">
        <v>773</v>
      </c>
      <c r="B90" s="266">
        <f>'Sources and Uses Budget'!$C89</f>
        <v>40002</v>
      </c>
      <c r="C90" s="266">
        <f>'Sources and Uses Budget'!$C89</f>
        <v>40002</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2000000</v>
      </c>
      <c r="C94" s="266">
        <f>'Sources and Uses Budget'!$C93</f>
        <v>2000000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3402770</v>
      </c>
      <c r="C97" s="270">
        <f>SUM(C84:C96)</f>
        <v>3402770</v>
      </c>
      <c r="D97" s="270">
        <f t="shared" si="1"/>
        <v>0</v>
      </c>
      <c r="E97" s="268"/>
      <c r="F97" s="267"/>
    </row>
    <row r="98" spans="1:6" s="352" customFormat="1">
      <c r="A98" s="271" t="s">
        <v>776</v>
      </c>
      <c r="B98" s="270">
        <f>SUM(B64+B71+B78+B82+B97)</f>
        <v>34717755</v>
      </c>
      <c r="C98" s="270">
        <f>SUM(C64+C71+C78+C82+C97)</f>
        <v>34717755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3670441</v>
      </c>
      <c r="C100" s="266">
        <f>'Sources and Uses Budget'!$C99</f>
        <v>3670441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3670441</v>
      </c>
      <c r="C105" s="270">
        <f>SUM(C100:C104)</f>
        <v>3670441</v>
      </c>
      <c r="D105" s="270">
        <f t="shared" si="1"/>
        <v>0</v>
      </c>
      <c r="E105" s="268"/>
      <c r="F105" s="267"/>
    </row>
    <row r="106" spans="1:6" s="352" customFormat="1">
      <c r="A106" s="271" t="s">
        <v>781</v>
      </c>
      <c r="B106" s="273">
        <f>SUM(B98+B105)</f>
        <v>38388196</v>
      </c>
      <c r="C106" s="273">
        <f>SUM(C98+C105)</f>
        <v>38388196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1190</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1191</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6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4">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307</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307</v>
      </c>
      <c r="D24" s="1283" t="s">
        <v>1092</v>
      </c>
      <c r="E24" s="1283"/>
      <c r="F24" s="1283"/>
      <c r="I24" s="490"/>
    </row>
    <row r="25" spans="1:9" ht="14.4">
      <c r="A25" s="484"/>
      <c r="B25" s="484"/>
      <c r="D25" s="1283"/>
      <c r="E25" s="1283"/>
      <c r="F25" s="1283"/>
      <c r="I25" s="490"/>
    </row>
    <row r="26" spans="1:9">
      <c r="I26" s="490"/>
    </row>
    <row r="27" spans="1:9" ht="14.4">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4">
      <c r="A35" s="484"/>
      <c r="B35" s="484"/>
      <c r="D35" s="447"/>
      <c r="I35" s="490"/>
    </row>
    <row r="36" spans="1:9" ht="14.4" customHeight="1">
      <c r="A36" s="484"/>
      <c r="B36" s="485" t="s">
        <v>307</v>
      </c>
      <c r="D36" s="1283" t="s">
        <v>1215</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307</v>
      </c>
      <c r="D41" s="1283" t="s">
        <v>1093</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307</v>
      </c>
      <c r="D47" s="1283" t="s">
        <v>1094</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307</v>
      </c>
      <c r="D52" s="1283" t="s">
        <v>1095</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307</v>
      </c>
      <c r="D56" s="1307" t="s">
        <v>1096</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4">
      <c r="A65" s="484"/>
      <c r="B65" s="485" t="s">
        <v>307</v>
      </c>
      <c r="D65" s="1283" t="s">
        <v>1098</v>
      </c>
      <c r="E65" s="1283"/>
      <c r="F65" s="1283"/>
      <c r="I65" s="490"/>
    </row>
    <row r="66" spans="1:9">
      <c r="D66" s="1283"/>
      <c r="E66" s="1283"/>
      <c r="F66" s="1283"/>
      <c r="I66" s="490"/>
    </row>
    <row r="67" spans="1:9">
      <c r="I67" s="490"/>
    </row>
    <row r="68" spans="1:9" ht="14.4">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4">
      <c r="A72" s="484"/>
      <c r="B72" s="485" t="s">
        <v>307</v>
      </c>
      <c r="D72" s="1283" t="s">
        <v>1100</v>
      </c>
      <c r="E72" s="1283"/>
      <c r="F72" s="1283"/>
      <c r="I72" s="490"/>
    </row>
    <row r="73" spans="1:9">
      <c r="D73" s="1283"/>
      <c r="E73" s="1283"/>
      <c r="F73" s="1283"/>
      <c r="I73" s="490"/>
    </row>
    <row r="74" spans="1:9" ht="14.4">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65" customHeight="1">
      <c r="A80" s="484"/>
      <c r="B80" s="485" t="s">
        <v>307</v>
      </c>
      <c r="D80" s="1283" t="s">
        <v>1246</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307</v>
      </c>
      <c r="D89" s="1283" t="s">
        <v>1743</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307</v>
      </c>
      <c r="D92" s="1283" t="s">
        <v>1746</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307</v>
      </c>
      <c r="D96" s="1283" t="s">
        <v>1745</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307</v>
      </c>
      <c r="D100" s="1283" t="s">
        <v>1744</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307</v>
      </c>
      <c r="D103" s="1283" t="s">
        <v>1195</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307</v>
      </c>
      <c r="D119" s="1303" t="s">
        <v>1104</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307</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307</v>
      </c>
      <c r="D137" s="1283" t="s">
        <v>1106</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307</v>
      </c>
      <c r="D151" s="1283" t="s">
        <v>1178</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2073</v>
      </c>
      <c r="E169" s="1304"/>
      <c r="F169" s="1304"/>
      <c r="G169" s="507"/>
      <c r="I169" s="490"/>
    </row>
    <row r="170" spans="1:9" ht="13.65" customHeight="1">
      <c r="D170" s="1295"/>
      <c r="E170" s="1295"/>
      <c r="F170" s="1295"/>
      <c r="G170" s="1295"/>
      <c r="I170" s="490"/>
    </row>
    <row r="171" spans="1:9" ht="14.4" customHeight="1">
      <c r="A171" s="489"/>
      <c r="B171" s="485" t="s">
        <v>307</v>
      </c>
      <c r="C171" s="476"/>
      <c r="D171" s="1263" t="s">
        <v>2213</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307</v>
      </c>
      <c r="C177" s="476"/>
      <c r="D177" s="1263" t="s">
        <v>1107</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307</v>
      </c>
      <c r="D182" s="1287" t="s">
        <v>2051</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4">
      <c r="A217" s="484"/>
      <c r="B217" s="485" t="s">
        <v>307</v>
      </c>
      <c r="D217" s="1283" t="s">
        <v>1217</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65" customHeight="1">
      <c r="A227" s="490"/>
      <c r="C227" s="490"/>
      <c r="D227" s="1291" t="s">
        <v>547</v>
      </c>
      <c r="E227" s="1291"/>
      <c r="F227" s="1291"/>
      <c r="I227" s="490"/>
    </row>
    <row r="228" spans="1:9" ht="14.4">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307</v>
      </c>
      <c r="D233" s="1283" t="s">
        <v>1755</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1119</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307</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307</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307</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307</v>
      </c>
      <c r="D259" s="1283" t="s">
        <v>1120</v>
      </c>
      <c r="E259" s="1283"/>
      <c r="F259" s="1283"/>
      <c r="I259" s="490"/>
    </row>
    <row r="260" spans="1:9" ht="14.4">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4">
      <c r="A290" s="484"/>
      <c r="B290" s="485" t="s">
        <v>307</v>
      </c>
      <c r="D290" s="1283" t="s">
        <v>1126</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307</v>
      </c>
      <c r="D293" s="1283" t="s">
        <v>1127</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307</v>
      </c>
      <c r="D297" s="1283" t="s">
        <v>1128</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4">
      <c r="A306" s="484"/>
      <c r="B306" s="484"/>
      <c r="D306" s="494"/>
      <c r="E306" s="495"/>
      <c r="F306" s="495"/>
      <c r="I306" s="490"/>
    </row>
    <row r="307" spans="1:9" ht="13.65" customHeight="1">
      <c r="B307" s="485" t="s">
        <v>307</v>
      </c>
      <c r="D307" s="1293" t="s">
        <v>1220</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307</v>
      </c>
      <c r="D313" s="1293" t="s">
        <v>1131</v>
      </c>
      <c r="E313" s="1293"/>
      <c r="F313" s="1293"/>
      <c r="I313" s="490"/>
    </row>
    <row r="314" spans="1:9">
      <c r="D314" s="1293"/>
      <c r="E314" s="1293"/>
      <c r="F314" s="1293"/>
      <c r="I314" s="490"/>
    </row>
    <row r="315" spans="1:9" ht="14.4">
      <c r="A315" s="484"/>
      <c r="B315" s="484"/>
      <c r="D315" s="494"/>
      <c r="E315" s="495"/>
      <c r="F315" s="495"/>
      <c r="I315" s="490"/>
    </row>
    <row r="316" spans="1:9">
      <c r="B316" s="485" t="s">
        <v>307</v>
      </c>
      <c r="D316" s="1284" t="s">
        <v>1132</v>
      </c>
      <c r="E316" s="1284"/>
      <c r="F316" s="1284"/>
      <c r="I316" s="490"/>
    </row>
    <row r="317" spans="1:9">
      <c r="E317" s="446"/>
      <c r="F317" s="446"/>
      <c r="I317" s="490"/>
    </row>
    <row r="318" spans="1:9" ht="14.4">
      <c r="A318" s="484"/>
      <c r="B318" s="485" t="s">
        <v>307</v>
      </c>
      <c r="D318" s="1283" t="s">
        <v>2245</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980</v>
      </c>
      <c r="E351" s="1296"/>
      <c r="F351" s="1296"/>
      <c r="G351" s="1027"/>
      <c r="H351" s="1027"/>
      <c r="I351" s="1156"/>
    </row>
    <row r="352" spans="1:9" ht="13.8"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4">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307</v>
      </c>
      <c r="D423" s="1263" t="s">
        <v>1882</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307</v>
      </c>
      <c r="C429" s="476"/>
      <c r="D429" s="1263" t="s">
        <v>1241</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307</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307</v>
      </c>
      <c r="C471" s="484"/>
      <c r="D471" s="1283" t="s">
        <v>1198</v>
      </c>
      <c r="E471" s="1283"/>
      <c r="F471" s="1283"/>
      <c r="I471" s="490"/>
    </row>
    <row r="472" spans="1:9">
      <c r="D472" s="1283"/>
      <c r="E472" s="1283"/>
      <c r="F472" s="1283"/>
      <c r="I472" s="490"/>
    </row>
    <row r="473" spans="1:9">
      <c r="D473" s="446"/>
      <c r="E473" s="446"/>
      <c r="F473" s="446"/>
      <c r="I473" s="490"/>
    </row>
    <row r="474" spans="1:9" ht="14.4">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4">
      <c r="A499" s="484"/>
      <c r="B499" s="484"/>
      <c r="D499" s="1295" t="s">
        <v>1142</v>
      </c>
      <c r="E499" s="1295"/>
      <c r="F499" s="1295"/>
      <c r="I499" s="490"/>
    </row>
    <row r="500" spans="1:9" ht="14.4">
      <c r="A500" s="484"/>
      <c r="B500" s="484"/>
      <c r="D500" s="447"/>
      <c r="I500" s="490"/>
    </row>
    <row r="501" spans="1:9" ht="14.4">
      <c r="A501" s="484"/>
      <c r="B501" s="485" t="s">
        <v>307</v>
      </c>
      <c r="D501" s="1263" t="s">
        <v>1143</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307</v>
      </c>
      <c r="D504" s="1287" t="s">
        <v>1274</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307</v>
      </c>
      <c r="D509" s="1284" t="s">
        <v>1144</v>
      </c>
      <c r="E509" s="1284"/>
      <c r="F509" s="1284"/>
      <c r="I509" s="490"/>
    </row>
    <row r="510" spans="1:9" ht="14.4">
      <c r="A510" s="484"/>
      <c r="B510" s="484"/>
      <c r="D510" s="446"/>
      <c r="I510" s="490"/>
    </row>
    <row r="511" spans="1:9" ht="14.4">
      <c r="A511" s="484"/>
      <c r="B511" s="485" t="s">
        <v>307</v>
      </c>
      <c r="D511" s="1283" t="s">
        <v>1145</v>
      </c>
      <c r="E511" s="1283"/>
      <c r="F511" s="1283"/>
      <c r="I511" s="490"/>
    </row>
    <row r="512" spans="1:9" ht="14.4">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65" customHeight="1">
      <c r="A548" s="484"/>
      <c r="B548" s="485" t="s">
        <v>307</v>
      </c>
      <c r="C548" s="487"/>
      <c r="D548" s="1284" t="s">
        <v>885</v>
      </c>
      <c r="E548" s="1284"/>
      <c r="F548" s="1284"/>
      <c r="I548" s="490"/>
    </row>
    <row r="549" spans="1:9" ht="13.65" customHeight="1">
      <c r="A549" s="487"/>
      <c r="B549" s="487"/>
      <c r="C549" s="487"/>
      <c r="D549" s="446"/>
      <c r="I549" s="490"/>
    </row>
    <row r="550" spans="1:9" ht="14.4">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307</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4">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307</v>
      </c>
      <c r="C643" s="487"/>
      <c r="D643" s="1283" t="s">
        <v>1226</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4">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307</v>
      </c>
      <c r="C694" s="483"/>
      <c r="D694" s="1284" t="s">
        <v>918</v>
      </c>
      <c r="E694" s="1284"/>
      <c r="F694" s="1284"/>
      <c r="H694" s="501"/>
      <c r="I694" s="483"/>
      <c r="J694" s="501"/>
      <c r="K694" s="501"/>
    </row>
    <row r="695" spans="1:11" ht="14.4">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307</v>
      </c>
      <c r="C698" s="483"/>
      <c r="D698" s="1284" t="s">
        <v>2469</v>
      </c>
      <c r="E698" s="1284"/>
      <c r="F698" s="1284"/>
      <c r="H698" s="501"/>
      <c r="I698" s="483"/>
      <c r="J698" s="501"/>
      <c r="K698" s="501"/>
    </row>
    <row r="699" spans="1:11" ht="14.4">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307</v>
      </c>
      <c r="C794" s="989"/>
      <c r="D794" s="1316" t="s">
        <v>1759</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307</v>
      </c>
      <c r="C798" s="989"/>
      <c r="D798" s="1316" t="s">
        <v>1760</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1803</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307</v>
      </c>
      <c r="C808" s="989"/>
      <c r="D808" s="1316" t="s">
        <v>1761</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307</v>
      </c>
      <c r="C815" s="989"/>
      <c r="D815" s="1316" t="s">
        <v>1762</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307</v>
      </c>
      <c r="C822" s="989"/>
      <c r="D822" s="1288" t="s">
        <v>1763</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6" zoomScale="110" zoomScaleNormal="110" workbookViewId="0">
      <selection activeCell="A712" sqref="A712:AO753"/>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N/A</v>
      </c>
    </row>
    <row r="4" spans="1:58" ht="12.9" customHeight="1">
      <c r="BD4" s="3" t="s">
        <v>2507</v>
      </c>
      <c r="BE4" s="1246"/>
    </row>
    <row r="5" spans="1:58" ht="12.9" customHeight="1">
      <c r="BD5" s="3" t="s">
        <v>2508</v>
      </c>
      <c r="BE5">
        <f>SUMIF($AC$718:$AC$752,"&lt;=20%",$G$718:G$752)</f>
        <v>0</v>
      </c>
      <c r="BF5" s="3" t="s">
        <v>2513</v>
      </c>
    </row>
    <row r="6" spans="1:58" ht="12.9" customHeight="1">
      <c r="BD6" s="3" t="s">
        <v>2509</v>
      </c>
      <c r="BE6" s="1249">
        <f>SUMIF($AC$718:$AC$752,"&lt;=25%",$G$718:G$752)-SUM($BE$5:BE5)</f>
        <v>0</v>
      </c>
    </row>
    <row r="7" spans="1:58" ht="12.9" customHeight="1">
      <c r="BD7" s="1247" t="s">
        <v>2501</v>
      </c>
      <c r="BE7" s="1249">
        <f>SUMIF($AC$718:$AC$752,"&lt;=30%",$G$718:G$752)-SUM($BE$5:BE6)</f>
        <v>5</v>
      </c>
    </row>
    <row r="8" spans="1:58"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898"/>
      <c r="AV8" s="898"/>
      <c r="AW8" s="898"/>
      <c r="AX8" s="898"/>
      <c r="AY8" s="898"/>
      <c r="BD8" s="3" t="s">
        <v>2510</v>
      </c>
      <c r="BE8" s="1249">
        <f>SUMIF($AC$718:$AC$752,"&lt;=35%",$G$718:G$752)-SUM($BE$5:BE7)</f>
        <v>0</v>
      </c>
    </row>
    <row r="9" spans="1:58" ht="12.9" customHeight="1">
      <c r="A9" s="1853" t="s">
        <v>2077</v>
      </c>
      <c r="B9" s="1853"/>
      <c r="C9" s="1853"/>
      <c r="D9" s="1853"/>
      <c r="E9" s="1853"/>
      <c r="F9" s="1853"/>
      <c r="G9" s="1853"/>
      <c r="H9" s="185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c r="AT9" s="1853"/>
      <c r="AU9" s="13"/>
      <c r="AV9" s="13"/>
      <c r="AW9" s="13"/>
      <c r="AX9" s="13"/>
      <c r="AY9" s="13"/>
      <c r="BD9" s="1248" t="s">
        <v>2502</v>
      </c>
      <c r="BE9" s="1249">
        <f>SUMIF($AC$718:$AC$752,"&lt;=40%",$G$718:G$752)-SUM($BE$5:BE8)</f>
        <v>0</v>
      </c>
    </row>
    <row r="10" spans="1:58" ht="12.9" customHeight="1">
      <c r="A10" s="1853" t="s">
        <v>2459</v>
      </c>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c r="AT10" s="1853"/>
      <c r="AU10" s="13"/>
      <c r="AV10" s="13"/>
      <c r="AW10" s="13"/>
      <c r="AX10" s="13"/>
      <c r="AY10" s="13"/>
      <c r="BD10" s="3" t="s">
        <v>2511</v>
      </c>
      <c r="BE10" s="1249">
        <f>SUMIF($AC$718:$AC$752,"&lt;=45%",$G$718:G$752)-SUM($BE$5:BE9)</f>
        <v>0</v>
      </c>
    </row>
    <row r="11" spans="1:58" ht="12.9" customHeight="1">
      <c r="A11" s="1853" t="s">
        <v>2605</v>
      </c>
      <c r="B11" s="1853"/>
      <c r="C11" s="1853"/>
      <c r="D11" s="1853"/>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c r="AT11" s="1853"/>
      <c r="AU11" s="13"/>
      <c r="AV11" s="13"/>
      <c r="AW11" s="13"/>
      <c r="AX11" s="13"/>
      <c r="AY11" s="13"/>
      <c r="BD11" s="1247" t="s">
        <v>2503</v>
      </c>
      <c r="BE11" s="1249">
        <f>SUMIF($AC$718:$AC$752,"&lt;=50%",$G$718:G$752)-SUM($BE$5:BE10)</f>
        <v>12</v>
      </c>
    </row>
    <row r="12" spans="1:58" ht="12.9" customHeight="1">
      <c r="A12" s="1854" t="s">
        <v>2611</v>
      </c>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6"/>
      <c r="AV12" s="6"/>
      <c r="AW12" s="6"/>
      <c r="AX12" s="6"/>
      <c r="AY12" s="6"/>
      <c r="BD12" s="3" t="s">
        <v>2512</v>
      </c>
      <c r="BE12" s="1249">
        <f>SUMIF($AC$718:$AC$752,"&lt;=55%",$G$718:G$752)-SUM($BE$5:BE11)</f>
        <v>0</v>
      </c>
    </row>
    <row r="13" spans="1:58" ht="12.9"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2</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26</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 customHeight="1">
      <c r="A16" s="57" t="s">
        <v>2079</v>
      </c>
      <c r="C16" s="4"/>
      <c r="D16" s="4"/>
      <c r="E16" s="4"/>
      <c r="F16" s="4"/>
      <c r="G16" s="4"/>
      <c r="H16" s="1584" t="s">
        <v>2613</v>
      </c>
      <c r="I16" s="1561"/>
      <c r="J16" s="1561"/>
      <c r="K16" s="1561"/>
      <c r="L16" s="1561"/>
      <c r="M16" s="1561"/>
      <c r="N16" s="1561"/>
      <c r="O16" s="1561"/>
      <c r="P16" s="1561"/>
      <c r="Q16" s="1561"/>
      <c r="R16" s="1561"/>
      <c r="S16" s="1561"/>
      <c r="T16" s="1561"/>
      <c r="U16" s="1561"/>
      <c r="V16" s="1561"/>
      <c r="W16" s="1561"/>
      <c r="X16" s="1561"/>
      <c r="Y16" s="1561"/>
      <c r="Z16" s="1561"/>
      <c r="AA16" s="1561"/>
      <c r="AB16" s="1561"/>
      <c r="AC16" s="1561"/>
      <c r="AD16" s="1561"/>
      <c r="AE16" s="1561"/>
      <c r="AF16" s="1561"/>
      <c r="AG16" s="1561"/>
      <c r="AH16" s="1561"/>
      <c r="AI16" s="1561"/>
      <c r="AJ16" s="1561"/>
      <c r="BD16" s="1248" t="s">
        <v>657</v>
      </c>
      <c r="BE16" s="1249" t="str">
        <f>Application!H18</f>
        <v>EaRTH Center</v>
      </c>
    </row>
    <row r="17" spans="1:58" ht="12.9" customHeight="1">
      <c r="BD17" s="1247" t="s">
        <v>2519</v>
      </c>
      <c r="BE17" s="1249">
        <f>Application!AA934</f>
        <v>0</v>
      </c>
    </row>
    <row r="18" spans="1:58" ht="12.9" customHeight="1">
      <c r="A18" s="57" t="s">
        <v>101</v>
      </c>
      <c r="C18" s="4"/>
      <c r="D18" s="4"/>
      <c r="E18" s="4"/>
      <c r="F18" s="4"/>
      <c r="G18" s="4"/>
      <c r="H18" s="1541" t="s">
        <v>2614</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BD18" s="1248" t="s">
        <v>2520</v>
      </c>
      <c r="BE18" s="1249">
        <f>'CalHFA Addendum'!N11</f>
        <v>0</v>
      </c>
    </row>
    <row r="19" spans="1:58" ht="12.9" customHeight="1">
      <c r="BD19" s="1247" t="s">
        <v>2521</v>
      </c>
      <c r="BE19" s="1249">
        <f>Application!M26</f>
        <v>1869766</v>
      </c>
    </row>
    <row r="20" spans="1:58" ht="12.9" customHeight="1">
      <c r="A20" s="1855" t="s">
        <v>874</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900"/>
      <c r="AV20" s="900"/>
      <c r="AW20" s="900"/>
      <c r="AX20" s="900"/>
      <c r="AY20" s="900"/>
      <c r="BD20" s="1248" t="s">
        <v>2522</v>
      </c>
      <c r="BE20" s="1249">
        <f>Application!M27</f>
        <v>0</v>
      </c>
    </row>
    <row r="21" spans="1:58" ht="12.9" customHeight="1">
      <c r="A21" s="1858" t="s">
        <v>1010</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901"/>
      <c r="AN21" s="901"/>
      <c r="AO21" s="901"/>
      <c r="AP21" s="901"/>
      <c r="AQ21" s="901"/>
      <c r="AR21" s="901"/>
      <c r="AS21" s="901"/>
      <c r="AT21" s="901"/>
      <c r="AU21" s="901"/>
      <c r="AV21" s="901"/>
      <c r="AW21" s="901"/>
      <c r="AX21" s="901"/>
      <c r="AY21" s="901"/>
      <c r="BD21" s="1247" t="s">
        <v>2523</v>
      </c>
      <c r="BE21" s="1249">
        <f>Application!AM554</f>
        <v>11036545</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41750794</v>
      </c>
      <c r="BF22" s="3" t="s">
        <v>2596</v>
      </c>
    </row>
    <row r="23" spans="1:58" ht="12.9"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2100000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75013</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 customHeight="1">
      <c r="A26" s="4"/>
      <c r="C26" s="4"/>
      <c r="D26" s="4"/>
      <c r="E26" s="4"/>
      <c r="F26" s="4"/>
      <c r="G26" s="4"/>
      <c r="H26" s="4"/>
      <c r="I26" s="4"/>
      <c r="J26" s="4"/>
      <c r="K26" s="4"/>
      <c r="L26" s="4"/>
      <c r="M26" s="1857">
        <f>'Basis &amp; Credits'!AB56</f>
        <v>1869766</v>
      </c>
      <c r="N26" s="1857"/>
      <c r="O26" s="1857"/>
      <c r="P26" s="1857"/>
      <c r="Q26" s="1857"/>
      <c r="R26" s="4" t="s">
        <v>760</v>
      </c>
      <c r="S26" s="4"/>
      <c r="T26" s="4"/>
      <c r="U26" s="4"/>
      <c r="V26" s="4"/>
      <c r="W26" s="4"/>
      <c r="X26" s="4"/>
      <c r="Y26" s="4"/>
      <c r="Z26" s="4"/>
      <c r="AF26" s="4"/>
      <c r="AG26" s="4"/>
      <c r="AH26" s="4"/>
      <c r="AI26" s="4"/>
      <c r="AJ26" s="4"/>
      <c r="AK26" s="4"/>
      <c r="BD26" s="1248" t="s">
        <v>1640</v>
      </c>
      <c r="BE26" s="1249" t="b">
        <f>Application!M356="Yes"</f>
        <v>0</v>
      </c>
    </row>
    <row r="27" spans="1:58" ht="12.9" customHeight="1">
      <c r="A27" s="4"/>
      <c r="C27" s="4"/>
      <c r="D27" s="4"/>
      <c r="E27" s="4"/>
      <c r="F27" s="4"/>
      <c r="G27" s="4"/>
      <c r="H27" s="4"/>
      <c r="I27" s="4"/>
      <c r="J27" s="4"/>
      <c r="K27" s="4"/>
      <c r="L27" s="4"/>
      <c r="M27" s="1339">
        <f>'Basis &amp; Credits'!AB78</f>
        <v>0</v>
      </c>
      <c r="N27" s="1339"/>
      <c r="O27" s="1339"/>
      <c r="P27" s="1339"/>
      <c r="Q27" s="1339"/>
      <c r="R27" s="3" t="s">
        <v>1268</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 customHeight="1">
      <c r="A29" s="1555" t="s">
        <v>2148</v>
      </c>
      <c r="B29" s="1555"/>
      <c r="C29" s="1555"/>
      <c r="D29" s="1555"/>
      <c r="E29" s="1555"/>
      <c r="F29" s="1555"/>
      <c r="G29" s="1555"/>
      <c r="H29" s="1555"/>
      <c r="I29" s="1555"/>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5"/>
      <c r="AG29" s="1555"/>
      <c r="AH29" s="1555"/>
      <c r="AI29" s="1555"/>
      <c r="AJ29" s="1555"/>
      <c r="AK29" s="1555"/>
      <c r="AL29" s="1555"/>
      <c r="AM29" s="1555"/>
      <c r="AN29" s="1555"/>
      <c r="AO29" s="1555"/>
      <c r="AP29" s="1555"/>
      <c r="AQ29" s="1555"/>
      <c r="AR29" s="1555"/>
      <c r="AS29" s="1555"/>
      <c r="AT29" s="1555"/>
      <c r="BD29" s="1247" t="s">
        <v>2528</v>
      </c>
      <c r="BE29" s="1249" t="b">
        <f>Application!M358="Yes"</f>
        <v>0</v>
      </c>
    </row>
    <row r="30" spans="1:58" ht="12.9" customHeight="1">
      <c r="A30" s="1555"/>
      <c r="B30" s="1555"/>
      <c r="C30" s="1555"/>
      <c r="D30" s="1555"/>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1555"/>
      <c r="AF30" s="1555"/>
      <c r="AG30" s="1555"/>
      <c r="AH30" s="1555"/>
      <c r="AI30" s="1555"/>
      <c r="AJ30" s="1555"/>
      <c r="AK30" s="1555"/>
      <c r="AL30" s="1555"/>
      <c r="AM30" s="1555"/>
      <c r="AN30" s="1555"/>
      <c r="AO30" s="1555"/>
      <c r="AP30" s="1555"/>
      <c r="AQ30" s="1555"/>
      <c r="AR30" s="1555"/>
      <c r="AS30" s="1555"/>
      <c r="AT30" s="1555"/>
      <c r="AZ30" s="20"/>
      <c r="BD30" s="1248" t="s">
        <v>28</v>
      </c>
      <c r="BE30" s="1249" t="b">
        <f>Application!AJ355="Yes"</f>
        <v>0</v>
      </c>
    </row>
    <row r="31" spans="1:58" ht="12.9" customHeight="1">
      <c r="A31" s="1555"/>
      <c r="B31" s="1555"/>
      <c r="C31" s="1555"/>
      <c r="D31" s="1555"/>
      <c r="E31" s="1555"/>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555"/>
      <c r="AM31" s="1555"/>
      <c r="AN31" s="1555"/>
      <c r="AO31" s="1555"/>
      <c r="AP31" s="1555"/>
      <c r="AQ31" s="1555"/>
      <c r="AR31" s="1555"/>
      <c r="AS31" s="1555"/>
      <c r="AT31" s="1555"/>
      <c r="AU31" s="20"/>
      <c r="AV31" s="20"/>
      <c r="AW31" s="20"/>
      <c r="AX31" s="20"/>
      <c r="AY31" s="20"/>
      <c r="AZ31" s="20"/>
      <c r="BD31" s="1247" t="s">
        <v>2529</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 customHeight="1">
      <c r="A33" s="519" t="s">
        <v>1279</v>
      </c>
      <c r="C33" s="519"/>
      <c r="D33" s="519"/>
      <c r="E33" s="519"/>
      <c r="F33" s="519"/>
      <c r="G33" s="519"/>
      <c r="H33" s="519"/>
      <c r="I33" s="519"/>
      <c r="J33" s="519"/>
      <c r="K33" s="519"/>
      <c r="L33" s="519"/>
      <c r="M33" s="519"/>
      <c r="N33" s="519"/>
      <c r="O33" s="1337" t="s">
        <v>546</v>
      </c>
      <c r="P33" s="1337"/>
      <c r="Q33" s="1856" t="s">
        <v>2149</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c r="BD33" s="1247" t="s">
        <v>2597</v>
      </c>
      <c r="BE33" s="1249" t="str">
        <f>Application!D220</f>
        <v>N/A</v>
      </c>
    </row>
    <row r="34" spans="1:57" ht="12.9" customHeight="1">
      <c r="A34" s="1555" t="s">
        <v>2150</v>
      </c>
      <c r="B34" s="1555"/>
      <c r="C34" s="1555"/>
      <c r="D34" s="1555"/>
      <c r="E34" s="1555"/>
      <c r="F34" s="1555"/>
      <c r="G34" s="1555"/>
      <c r="H34" s="1555"/>
      <c r="I34" s="1555"/>
      <c r="J34" s="1555"/>
      <c r="K34" s="1555"/>
      <c r="L34" s="1555"/>
      <c r="M34" s="1555"/>
      <c r="N34" s="1555"/>
      <c r="O34" s="1555"/>
      <c r="P34" s="1555"/>
      <c r="Q34" s="1555"/>
      <c r="R34" s="1555"/>
      <c r="S34" s="1555"/>
      <c r="T34" s="1555"/>
      <c r="U34" s="1555"/>
      <c r="V34" s="1555"/>
      <c r="W34" s="1555"/>
      <c r="X34" s="1555"/>
      <c r="Y34" s="1555"/>
      <c r="Z34" s="1555"/>
      <c r="AA34" s="1555"/>
      <c r="AB34" s="1555"/>
      <c r="AC34" s="1555"/>
      <c r="AD34" s="1555"/>
      <c r="AE34" s="1555"/>
      <c r="AF34" s="1555"/>
      <c r="AG34" s="1555"/>
      <c r="AH34" s="1555"/>
      <c r="AI34" s="1555"/>
      <c r="AJ34" s="1555"/>
      <c r="AK34" s="1555"/>
      <c r="AL34" s="1555"/>
      <c r="AM34" s="1555"/>
      <c r="AN34" s="1555"/>
      <c r="AO34" s="1555"/>
      <c r="AP34" s="1555"/>
      <c r="AQ34" s="1555"/>
      <c r="AR34" s="1555"/>
      <c r="AS34" s="1555"/>
      <c r="AT34" s="1555"/>
      <c r="AU34" s="20"/>
      <c r="AV34" s="20"/>
      <c r="AW34" s="20"/>
      <c r="AX34" s="20"/>
      <c r="AY34" s="20"/>
      <c r="AZ34" s="20"/>
      <c r="BD34" s="1248" t="s">
        <v>2531</v>
      </c>
      <c r="BE34" s="1249" t="str">
        <f>Application!I185</f>
        <v xml:space="preserve">700 3rd Street </v>
      </c>
    </row>
    <row r="35" spans="1:57" ht="12.9" customHeight="1">
      <c r="A35" s="1555"/>
      <c r="B35" s="1555"/>
      <c r="C35" s="1555"/>
      <c r="D35" s="1555"/>
      <c r="E35" s="1555"/>
      <c r="F35" s="1555"/>
      <c r="G35" s="1555"/>
      <c r="H35" s="1555"/>
      <c r="I35" s="1555"/>
      <c r="J35" s="1555"/>
      <c r="K35" s="1555"/>
      <c r="L35" s="1555"/>
      <c r="M35" s="1555"/>
      <c r="N35" s="1555"/>
      <c r="O35" s="1555"/>
      <c r="P35" s="1555"/>
      <c r="Q35" s="1555"/>
      <c r="R35" s="1555"/>
      <c r="S35" s="1555"/>
      <c r="T35" s="1555"/>
      <c r="U35" s="1555"/>
      <c r="V35" s="1555"/>
      <c r="W35" s="1555"/>
      <c r="X35" s="1555"/>
      <c r="Y35" s="1555"/>
      <c r="Z35" s="1555"/>
      <c r="AA35" s="1555"/>
      <c r="AB35" s="1555"/>
      <c r="AC35" s="1555"/>
      <c r="AD35" s="1555"/>
      <c r="AE35" s="1555"/>
      <c r="AF35" s="1555"/>
      <c r="AG35" s="1555"/>
      <c r="AH35" s="1555"/>
      <c r="AI35" s="1555"/>
      <c r="AJ35" s="1555"/>
      <c r="AK35" s="1555"/>
      <c r="AL35" s="1555"/>
      <c r="AM35" s="1555"/>
      <c r="AN35" s="1555"/>
      <c r="AO35" s="1555"/>
      <c r="AP35" s="1555"/>
      <c r="AQ35" s="1555"/>
      <c r="AR35" s="1555"/>
      <c r="AS35" s="1555"/>
      <c r="AT35" s="1555"/>
      <c r="AU35" s="20"/>
      <c r="AV35" s="20"/>
      <c r="AW35" s="20"/>
      <c r="AX35" s="20"/>
      <c r="AY35" s="20"/>
      <c r="AZ35" s="20"/>
      <c r="BD35" s="1247" t="s">
        <v>2532</v>
      </c>
      <c r="BE35" s="1249" t="str">
        <f>IF(Application!E187="","",Application!E187)</f>
        <v/>
      </c>
    </row>
    <row r="36" spans="1:57" ht="12.9" customHeight="1">
      <c r="A36" s="1555"/>
      <c r="B36" s="1555"/>
      <c r="C36" s="1555"/>
      <c r="D36" s="1555"/>
      <c r="E36" s="1555"/>
      <c r="F36" s="1555"/>
      <c r="G36" s="1555"/>
      <c r="H36" s="1555"/>
      <c r="I36" s="1555"/>
      <c r="J36" s="1555"/>
      <c r="K36" s="1555"/>
      <c r="L36" s="1555"/>
      <c r="M36" s="1555"/>
      <c r="N36" s="1555"/>
      <c r="O36" s="1555"/>
      <c r="P36" s="1555"/>
      <c r="Q36" s="1555"/>
      <c r="R36" s="1555"/>
      <c r="S36" s="1555"/>
      <c r="T36" s="1555"/>
      <c r="U36" s="1555"/>
      <c r="V36" s="1555"/>
      <c r="W36" s="1555"/>
      <c r="X36" s="1555"/>
      <c r="Y36" s="1555"/>
      <c r="Z36" s="1555"/>
      <c r="AA36" s="1555"/>
      <c r="AB36" s="1555"/>
      <c r="AC36" s="1555"/>
      <c r="AD36" s="1555"/>
      <c r="AE36" s="1555"/>
      <c r="AF36" s="1555"/>
      <c r="AG36" s="1555"/>
      <c r="AH36" s="1555"/>
      <c r="AI36" s="1555"/>
      <c r="AJ36" s="1555"/>
      <c r="AK36" s="1555"/>
      <c r="AL36" s="1555"/>
      <c r="AM36" s="1555"/>
      <c r="AN36" s="1555"/>
      <c r="AO36" s="1555"/>
      <c r="AP36" s="1555"/>
      <c r="AQ36" s="1555"/>
      <c r="AR36" s="1555"/>
      <c r="AS36" s="1555"/>
      <c r="AT36" s="1555"/>
      <c r="AU36" s="20"/>
      <c r="AV36" s="20"/>
      <c r="AW36" s="20"/>
      <c r="AX36" s="20"/>
      <c r="AY36" s="20"/>
      <c r="AZ36" s="20"/>
      <c r="BD36" s="1248" t="s">
        <v>2533</v>
      </c>
      <c r="BE36" s="1249" t="str">
        <f>Application!I189</f>
        <v>Eureka</v>
      </c>
    </row>
    <row r="37" spans="1:57" ht="12.9" customHeight="1">
      <c r="A37" s="1555"/>
      <c r="B37" s="1555"/>
      <c r="C37" s="1555"/>
      <c r="D37" s="1555"/>
      <c r="E37" s="1555"/>
      <c r="F37" s="1555"/>
      <c r="G37" s="1555"/>
      <c r="H37" s="1555"/>
      <c r="I37" s="1555"/>
      <c r="J37" s="1555"/>
      <c r="K37" s="1555"/>
      <c r="L37" s="1555"/>
      <c r="M37" s="1555"/>
      <c r="N37" s="1555"/>
      <c r="O37" s="1555"/>
      <c r="P37" s="1555"/>
      <c r="Q37" s="1555"/>
      <c r="R37" s="1555"/>
      <c r="S37" s="1555"/>
      <c r="T37" s="1555"/>
      <c r="U37" s="1555"/>
      <c r="V37" s="1555"/>
      <c r="W37" s="1555"/>
      <c r="X37" s="1555"/>
      <c r="Y37" s="1555"/>
      <c r="Z37" s="1555"/>
      <c r="AA37" s="1555"/>
      <c r="AB37" s="1555"/>
      <c r="AC37" s="1555"/>
      <c r="AD37" s="1555"/>
      <c r="AE37" s="1555"/>
      <c r="AF37" s="1555"/>
      <c r="AG37" s="1555"/>
      <c r="AH37" s="1555"/>
      <c r="AI37" s="1555"/>
      <c r="AJ37" s="1555"/>
      <c r="AK37" s="1555"/>
      <c r="AL37" s="1555"/>
      <c r="AM37" s="1555"/>
      <c r="AN37" s="1555"/>
      <c r="AO37" s="1555"/>
      <c r="AP37" s="1555"/>
      <c r="AQ37" s="1555"/>
      <c r="AR37" s="1555"/>
      <c r="AS37" s="1555"/>
      <c r="AT37" s="1555"/>
      <c r="AZ37" s="20"/>
      <c r="BD37" s="1247" t="s">
        <v>2534</v>
      </c>
      <c r="BE37" s="1249" t="str">
        <f>Application!T189</f>
        <v>Humboldt</v>
      </c>
    </row>
    <row r="38" spans="1:57" ht="12.9" customHeight="1">
      <c r="A38" s="3"/>
      <c r="AZ38" s="20"/>
      <c r="BD38" s="1248" t="s">
        <v>2535</v>
      </c>
      <c r="BE38" s="1249">
        <f>Application!I190</f>
        <v>95501</v>
      </c>
    </row>
    <row r="39" spans="1:57" ht="12.9"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46</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45</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0.59777777777777774</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0.5189952572981813</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907625.95652173914</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Community Revitalization and Development Corporation</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 xml:space="preserve">David Rutledge </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 xml:space="preserve">Eureka G Street LLC </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Hailey Wilson</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Johnson &amp; Johnson Investments, LLC</v>
      </c>
    </row>
    <row r="54" spans="1:57" ht="12.9"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 xml:space="preserve">Danco Communities </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 xml:space="preserve">5251 Ericson Way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 xml:space="preserve">Chris Dart </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cdart@danco-group.com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 customHeight="1">
      <c r="A65" s="1544" t="s">
        <v>2157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2594</v>
      </c>
      <c r="BE65" s="1249" t="str">
        <f>Z205</f>
        <v>$500M</v>
      </c>
    </row>
    <row r="66" spans="1:57" ht="12.9"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2559</v>
      </c>
      <c r="BE66" s="1249" t="b">
        <f>Application!Z205="State Farmworker Credit"</f>
        <v>0</v>
      </c>
    </row>
    <row r="67" spans="1:57" ht="12.9"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2560</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3362598</v>
      </c>
    </row>
    <row r="69" spans="1:57" ht="12.9" customHeight="1">
      <c r="A69" s="1544" t="s">
        <v>2158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2562</v>
      </c>
      <c r="BE69" s="1249" t="str">
        <f>Application!W700</f>
        <v xml:space="preserve">California Municipal Finance Authority </v>
      </c>
    </row>
    <row r="70" spans="1:57" ht="12.9"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2563</v>
      </c>
      <c r="BE70" s="1249">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 customHeight="1">
      <c r="A72" s="1555" t="s">
        <v>2159</v>
      </c>
      <c r="B72" s="1555"/>
      <c r="C72" s="1555"/>
      <c r="D72" s="1555"/>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1555"/>
      <c r="AB72" s="1555"/>
      <c r="AC72" s="1555"/>
      <c r="AD72" s="1555"/>
      <c r="AE72" s="1555"/>
      <c r="AF72" s="1555"/>
      <c r="AG72" s="1555"/>
      <c r="AH72" s="1555"/>
      <c r="AI72" s="1555"/>
      <c r="AJ72" s="1555"/>
      <c r="AK72" s="1555"/>
      <c r="AL72" s="1555"/>
      <c r="AM72" s="1555"/>
      <c r="AN72" s="1555"/>
      <c r="AO72" s="1555"/>
      <c r="AP72" s="1555"/>
      <c r="AQ72" s="1555"/>
      <c r="AR72" s="1555"/>
      <c r="AS72" s="1555"/>
      <c r="AT72" s="1555"/>
      <c r="AU72" s="20"/>
      <c r="AV72" s="20"/>
      <c r="AW72" s="20"/>
      <c r="AX72" s="20"/>
      <c r="AY72" s="20"/>
      <c r="AZ72" s="20"/>
      <c r="BD72" s="1248" t="s">
        <v>2565</v>
      </c>
      <c r="BE72" s="1249">
        <f>'Points System'!AF805</f>
        <v>10</v>
      </c>
    </row>
    <row r="73" spans="1:57" ht="12.9" customHeight="1">
      <c r="A73" s="1555"/>
      <c r="B73" s="1555"/>
      <c r="C73" s="1555"/>
      <c r="D73" s="1555"/>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1555"/>
      <c r="AB73" s="1555"/>
      <c r="AC73" s="1555"/>
      <c r="AD73" s="1555"/>
      <c r="AE73" s="1555"/>
      <c r="AF73" s="1555"/>
      <c r="AG73" s="1555"/>
      <c r="AH73" s="1555"/>
      <c r="AI73" s="1555"/>
      <c r="AJ73" s="1555"/>
      <c r="AK73" s="1555"/>
      <c r="AL73" s="1555"/>
      <c r="AM73" s="1555"/>
      <c r="AN73" s="1555"/>
      <c r="AO73" s="1555"/>
      <c r="AP73" s="1555"/>
      <c r="AQ73" s="1555"/>
      <c r="AR73" s="1555"/>
      <c r="AS73" s="1555"/>
      <c r="AT73" s="1555"/>
      <c r="AU73" s="20"/>
      <c r="AV73" s="20"/>
      <c r="AW73" s="20"/>
      <c r="AX73" s="20"/>
      <c r="AY73" s="20"/>
      <c r="AZ73" s="20"/>
      <c r="BD73" s="1247" t="s">
        <v>2566</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 customHeight="1">
      <c r="A75" s="1563" t="s">
        <v>2160</v>
      </c>
      <c r="B75" s="1563"/>
      <c r="C75" s="1563"/>
      <c r="D75" s="1563"/>
      <c r="E75" s="1563"/>
      <c r="F75" s="1563"/>
      <c r="G75" s="1563"/>
      <c r="H75" s="1563"/>
      <c r="I75" s="1563"/>
      <c r="J75" s="1563"/>
      <c r="K75" s="1563"/>
      <c r="L75" s="1563"/>
      <c r="M75" s="1563"/>
      <c r="N75" s="1563"/>
      <c r="O75" s="1563"/>
      <c r="P75" s="1563"/>
      <c r="Q75" s="1563"/>
      <c r="R75" s="1563"/>
      <c r="S75" s="1563"/>
      <c r="T75" s="1563"/>
      <c r="U75" s="1563"/>
      <c r="V75" s="1563"/>
      <c r="W75" s="1563"/>
      <c r="X75" s="1563"/>
      <c r="Y75" s="1563"/>
      <c r="Z75" s="1563"/>
      <c r="AA75" s="1563"/>
      <c r="AB75" s="1563"/>
      <c r="AC75" s="1563"/>
      <c r="AD75" s="1563"/>
      <c r="AE75" s="1563"/>
      <c r="AF75" s="1563"/>
      <c r="AG75" s="1563"/>
      <c r="AH75" s="1563"/>
      <c r="AI75" s="1563"/>
      <c r="AJ75" s="1563"/>
      <c r="AK75" s="1563"/>
      <c r="AL75" s="1563"/>
      <c r="AM75" s="1563"/>
      <c r="AN75" s="1563"/>
      <c r="AO75" s="1563"/>
      <c r="AP75" s="1563"/>
      <c r="AQ75" s="1563"/>
      <c r="AR75" s="1563"/>
      <c r="AS75" s="1563"/>
      <c r="AT75" s="1563"/>
      <c r="AU75" s="20"/>
      <c r="AV75" s="20"/>
      <c r="AW75" s="20"/>
      <c r="AX75" s="20"/>
      <c r="AY75" s="20"/>
      <c r="AZ75" s="20"/>
      <c r="BD75" s="1247" t="s">
        <v>2568</v>
      </c>
      <c r="BE75" s="1249">
        <f>'Points System'!AF808</f>
        <v>10</v>
      </c>
    </row>
    <row r="76" spans="1:57" ht="12.9" customHeight="1">
      <c r="A76" s="1563"/>
      <c r="B76" s="1563"/>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63"/>
      <c r="Y76" s="1563"/>
      <c r="Z76" s="1563"/>
      <c r="AA76" s="1563"/>
      <c r="AB76" s="1563"/>
      <c r="AC76" s="1563"/>
      <c r="AD76" s="1563"/>
      <c r="AE76" s="1563"/>
      <c r="AF76" s="1563"/>
      <c r="AG76" s="1563"/>
      <c r="AH76" s="1563"/>
      <c r="AI76" s="1563"/>
      <c r="AJ76" s="1563"/>
      <c r="AK76" s="1563"/>
      <c r="AL76" s="1563"/>
      <c r="AM76" s="1563"/>
      <c r="AN76" s="1563"/>
      <c r="AO76" s="1563"/>
      <c r="AP76" s="1563"/>
      <c r="AQ76" s="1563"/>
      <c r="AR76" s="1563"/>
      <c r="AS76" s="1563"/>
      <c r="AT76" s="1563"/>
      <c r="AU76" s="20"/>
      <c r="AV76" s="20"/>
      <c r="AW76" s="20"/>
      <c r="AX76" s="20"/>
      <c r="AY76" s="20"/>
      <c r="AZ76" s="17"/>
      <c r="BD76" s="1248" t="s">
        <v>2569</v>
      </c>
      <c r="BE76" s="1249">
        <f>'Points System'!AF811</f>
        <v>10</v>
      </c>
    </row>
    <row r="77" spans="1:57" ht="12.9" customHeight="1">
      <c r="A77" s="1563"/>
      <c r="B77" s="1563"/>
      <c r="C77" s="1563"/>
      <c r="D77" s="1563"/>
      <c r="E77" s="1563"/>
      <c r="F77" s="1563"/>
      <c r="G77" s="1563"/>
      <c r="H77" s="1563"/>
      <c r="I77" s="1563"/>
      <c r="J77" s="1563"/>
      <c r="K77" s="1563"/>
      <c r="L77" s="1563"/>
      <c r="M77" s="1563"/>
      <c r="N77" s="1563"/>
      <c r="O77" s="1563"/>
      <c r="P77" s="1563"/>
      <c r="Q77" s="1563"/>
      <c r="R77" s="1563"/>
      <c r="S77" s="1563"/>
      <c r="T77" s="1563"/>
      <c r="U77" s="1563"/>
      <c r="V77" s="1563"/>
      <c r="W77" s="1563"/>
      <c r="X77" s="1563"/>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20"/>
      <c r="AV77" s="20"/>
      <c r="AW77" s="20"/>
      <c r="AX77" s="20"/>
      <c r="AY77" s="20"/>
      <c r="AZ77" s="17"/>
      <c r="BD77" s="1247" t="s">
        <v>2570</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 customHeight="1">
      <c r="A79" s="1544" t="s">
        <v>2161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2572</v>
      </c>
      <c r="BE79" s="1249">
        <f>'Points System'!AF815</f>
        <v>9</v>
      </c>
    </row>
    <row r="80" spans="1:57" ht="12.9"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2573</v>
      </c>
      <c r="BE80" s="1249">
        <f>'Points System'!AF817</f>
        <v>10</v>
      </c>
    </row>
    <row r="81" spans="1:57" ht="12.9"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2574</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0.81433854526031468</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Eureka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Miles Slattery</v>
      </c>
    </row>
    <row r="86" spans="1:57" ht="12.9"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531 K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Eureka</v>
      </c>
    </row>
    <row r="89" spans="1:57" ht="12.9" customHeight="1">
      <c r="A89" s="1571" t="s">
        <v>2164</v>
      </c>
      <c r="B89" s="1571"/>
      <c r="C89" s="1571"/>
      <c r="D89" s="1571"/>
      <c r="E89" s="1571"/>
      <c r="F89" s="1571"/>
      <c r="G89" s="1571"/>
      <c r="H89" s="1571"/>
      <c r="I89" s="1571"/>
      <c r="J89" s="1571"/>
      <c r="K89" s="1571"/>
      <c r="L89" s="1571"/>
      <c r="M89" s="1571"/>
      <c r="N89" s="1571"/>
      <c r="O89" s="1571"/>
      <c r="P89" s="1571"/>
      <c r="Q89" s="1571"/>
      <c r="R89" s="1571"/>
      <c r="S89" s="1571"/>
      <c r="T89" s="1571"/>
      <c r="U89" s="1571"/>
      <c r="V89" s="1571"/>
      <c r="W89" s="1571"/>
      <c r="X89" s="1571"/>
      <c r="Y89" s="1571"/>
      <c r="Z89" s="1571"/>
      <c r="AA89" s="1571"/>
      <c r="AB89" s="1571"/>
      <c r="AC89" s="1571"/>
      <c r="AD89" s="1571"/>
      <c r="AE89" s="1571"/>
      <c r="AF89" s="1571"/>
      <c r="AG89" s="1571"/>
      <c r="AH89" s="1571"/>
      <c r="AI89" s="1571"/>
      <c r="AJ89" s="1571"/>
      <c r="AK89" s="1571"/>
      <c r="AL89" s="1571"/>
      <c r="AM89" s="1571"/>
      <c r="AN89" s="1571"/>
      <c r="AO89" s="1571"/>
      <c r="AP89" s="1571"/>
      <c r="AQ89" s="1571"/>
      <c r="AR89" s="1571"/>
      <c r="AS89" s="1571"/>
      <c r="AT89" s="1571"/>
      <c r="AU89" s="17"/>
      <c r="AV89" s="17"/>
      <c r="AW89" s="17"/>
      <c r="AX89" s="17"/>
      <c r="AY89" s="17"/>
      <c r="AZ89" s="20"/>
      <c r="BD89" s="1247" t="s">
        <v>2582</v>
      </c>
      <c r="BE89" s="1249">
        <f>Application!O158</f>
        <v>95501</v>
      </c>
    </row>
    <row r="90" spans="1:57" ht="12.9" customHeight="1">
      <c r="A90" s="1571"/>
      <c r="B90" s="1571"/>
      <c r="C90" s="1571"/>
      <c r="D90" s="1571"/>
      <c r="E90" s="1571"/>
      <c r="F90" s="1571"/>
      <c r="G90" s="1571"/>
      <c r="H90" s="1571"/>
      <c r="I90" s="1571"/>
      <c r="J90" s="1571"/>
      <c r="K90" s="1571"/>
      <c r="L90" s="1571"/>
      <c r="M90" s="1571"/>
      <c r="N90" s="1571"/>
      <c r="O90" s="1571"/>
      <c r="P90" s="1571"/>
      <c r="Q90" s="1571"/>
      <c r="R90" s="1571"/>
      <c r="S90" s="1571"/>
      <c r="T90" s="1571"/>
      <c r="U90" s="1571"/>
      <c r="V90" s="1571"/>
      <c r="W90" s="1571"/>
      <c r="X90" s="1571"/>
      <c r="Y90" s="1571"/>
      <c r="Z90" s="1571"/>
      <c r="AA90" s="1571"/>
      <c r="AB90" s="1571"/>
      <c r="AC90" s="1571"/>
      <c r="AD90" s="1571"/>
      <c r="AE90" s="1571"/>
      <c r="AF90" s="1571"/>
      <c r="AG90" s="1571"/>
      <c r="AH90" s="1571"/>
      <c r="AI90" s="1571"/>
      <c r="AJ90" s="1571"/>
      <c r="AK90" s="1571"/>
      <c r="AL90" s="1571"/>
      <c r="AM90" s="1571"/>
      <c r="AN90" s="1571"/>
      <c r="AO90" s="1571"/>
      <c r="AP90" s="1571"/>
      <c r="AQ90" s="1571"/>
      <c r="AR90" s="1571"/>
      <c r="AS90" s="1571"/>
      <c r="AT90" s="1571"/>
      <c r="AU90" s="17"/>
      <c r="AV90" s="17"/>
      <c r="AW90" s="17"/>
      <c r="AX90" s="17"/>
      <c r="AY90" s="17"/>
      <c r="AZ90" s="20"/>
      <c r="BD90" s="1248" t="s">
        <v>2583</v>
      </c>
      <c r="BE90" s="1249" t="str">
        <f>Application!H16</f>
        <v xml:space="preserve">Community Revitalization and Development Corporation </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1918 West Street </v>
      </c>
    </row>
    <row r="92" spans="1:57" ht="12.9" customHeight="1">
      <c r="A92" s="1563" t="s">
        <v>2165</v>
      </c>
      <c r="B92" s="1563"/>
      <c r="C92" s="1563"/>
      <c r="D92" s="1563"/>
      <c r="E92" s="1563"/>
      <c r="F92" s="1563"/>
      <c r="G92" s="1563"/>
      <c r="H92" s="1563"/>
      <c r="I92" s="1563"/>
      <c r="J92" s="1563"/>
      <c r="K92" s="1563"/>
      <c r="L92" s="1563"/>
      <c r="M92" s="1563"/>
      <c r="N92" s="1563"/>
      <c r="O92" s="1563"/>
      <c r="P92" s="1563"/>
      <c r="Q92" s="1563"/>
      <c r="R92" s="1563"/>
      <c r="S92" s="1563"/>
      <c r="T92" s="1563"/>
      <c r="U92" s="1563"/>
      <c r="V92" s="1563"/>
      <c r="W92" s="1563"/>
      <c r="X92" s="1563"/>
      <c r="Y92" s="1563"/>
      <c r="Z92" s="1563"/>
      <c r="AA92" s="1563"/>
      <c r="AB92" s="1563"/>
      <c r="AC92" s="1563"/>
      <c r="AD92" s="1563"/>
      <c r="AE92" s="1563"/>
      <c r="AF92" s="1563"/>
      <c r="AG92" s="1563"/>
      <c r="AH92" s="1563"/>
      <c r="AI92" s="1563"/>
      <c r="AJ92" s="1563"/>
      <c r="AK92" s="1563"/>
      <c r="AL92" s="1563"/>
      <c r="AM92" s="1563"/>
      <c r="AN92" s="1563"/>
      <c r="AO92" s="1563"/>
      <c r="AP92" s="1563"/>
      <c r="AQ92" s="1563"/>
      <c r="AR92" s="1563"/>
      <c r="AS92" s="1563"/>
      <c r="AT92" s="1563"/>
      <c r="AU92" s="20"/>
      <c r="AV92" s="20"/>
      <c r="AW92" s="20"/>
      <c r="AX92" s="20"/>
      <c r="AY92" s="20"/>
      <c r="AZ92" s="20"/>
      <c r="BD92" s="1248" t="s">
        <v>2585</v>
      </c>
      <c r="BE92" s="1249" t="str">
        <f>Application!M234</f>
        <v>Redding</v>
      </c>
    </row>
    <row r="93" spans="1:57" ht="12.9" customHeight="1">
      <c r="A93" s="1563"/>
      <c r="B93" s="1563"/>
      <c r="C93" s="1563"/>
      <c r="D93" s="1563"/>
      <c r="E93" s="1563"/>
      <c r="F93" s="1563"/>
      <c r="G93" s="1563"/>
      <c r="H93" s="1563"/>
      <c r="I93" s="1563"/>
      <c r="J93" s="1563"/>
      <c r="K93" s="1563"/>
      <c r="L93" s="1563"/>
      <c r="M93" s="1563"/>
      <c r="N93" s="1563"/>
      <c r="O93" s="1563"/>
      <c r="P93" s="1563"/>
      <c r="Q93" s="1563"/>
      <c r="R93" s="1563"/>
      <c r="S93" s="1563"/>
      <c r="T93" s="1563"/>
      <c r="U93" s="1563"/>
      <c r="V93" s="1563"/>
      <c r="W93" s="1563"/>
      <c r="X93" s="1563"/>
      <c r="Y93" s="1563"/>
      <c r="Z93" s="1563"/>
      <c r="AA93" s="1563"/>
      <c r="AB93" s="1563"/>
      <c r="AC93" s="1563"/>
      <c r="AD93" s="1563"/>
      <c r="AE93" s="1563"/>
      <c r="AF93" s="1563"/>
      <c r="AG93" s="1563"/>
      <c r="AH93" s="1563"/>
      <c r="AI93" s="1563"/>
      <c r="AJ93" s="1563"/>
      <c r="AK93" s="1563"/>
      <c r="AL93" s="1563"/>
      <c r="AM93" s="1563"/>
      <c r="AN93" s="1563"/>
      <c r="AO93" s="1563"/>
      <c r="AP93" s="1563"/>
      <c r="AQ93" s="1563"/>
      <c r="AR93" s="1563"/>
      <c r="AS93" s="1563"/>
      <c r="AT93" s="1563"/>
      <c r="AU93" s="20"/>
      <c r="AV93" s="20"/>
      <c r="AW93" s="20"/>
      <c r="AX93" s="20"/>
      <c r="AY93" s="20"/>
      <c r="AZ93" s="20"/>
      <c r="BD93" s="1247" t="s">
        <v>2586</v>
      </c>
      <c r="BE93" s="1249" t="str">
        <f>Application!W234</f>
        <v>CA</v>
      </c>
    </row>
    <row r="94" spans="1:57" ht="12.9" customHeight="1">
      <c r="A94" s="1563"/>
      <c r="B94" s="1563"/>
      <c r="C94" s="1563"/>
      <c r="D94" s="1563"/>
      <c r="E94" s="1563"/>
      <c r="F94" s="1563"/>
      <c r="G94" s="1563"/>
      <c r="H94" s="1563"/>
      <c r="I94" s="1563"/>
      <c r="J94" s="1563"/>
      <c r="K94" s="1563"/>
      <c r="L94" s="1563"/>
      <c r="M94" s="1563"/>
      <c r="N94" s="1563"/>
      <c r="O94" s="1563"/>
      <c r="P94" s="1563"/>
      <c r="Q94" s="1563"/>
      <c r="R94" s="1563"/>
      <c r="S94" s="1563"/>
      <c r="T94" s="1563"/>
      <c r="U94" s="1563"/>
      <c r="V94" s="1563"/>
      <c r="W94" s="1563"/>
      <c r="X94" s="1563"/>
      <c r="Y94" s="1563"/>
      <c r="Z94" s="1563"/>
      <c r="AA94" s="1563"/>
      <c r="AB94" s="1563"/>
      <c r="AC94" s="1563"/>
      <c r="AD94" s="1563"/>
      <c r="AE94" s="1563"/>
      <c r="AF94" s="1563"/>
      <c r="AG94" s="1563"/>
      <c r="AH94" s="1563"/>
      <c r="AI94" s="1563"/>
      <c r="AJ94" s="1563"/>
      <c r="AK94" s="1563"/>
      <c r="AL94" s="1563"/>
      <c r="AM94" s="1563"/>
      <c r="AN94" s="1563"/>
      <c r="AO94" s="1563"/>
      <c r="AP94" s="1563"/>
      <c r="AQ94" s="1563"/>
      <c r="AR94" s="1563"/>
      <c r="AS94" s="1563"/>
      <c r="AT94" s="1563"/>
      <c r="AU94" s="20"/>
      <c r="AV94" s="20"/>
      <c r="AW94" s="20"/>
      <c r="AX94" s="20"/>
      <c r="AY94" s="20"/>
      <c r="AZ94" s="20"/>
      <c r="BD94" s="1248" t="s">
        <v>2587</v>
      </c>
      <c r="BE94" s="1249">
        <f>Application!AC234</f>
        <v>96001</v>
      </c>
    </row>
    <row r="95" spans="1:57" ht="12.9" customHeight="1">
      <c r="A95" s="1563"/>
      <c r="B95" s="1563"/>
      <c r="C95" s="1563"/>
      <c r="D95" s="1563"/>
      <c r="E95" s="1563"/>
      <c r="F95" s="1563"/>
      <c r="G95" s="1563"/>
      <c r="H95" s="1563"/>
      <c r="I95" s="1563"/>
      <c r="J95" s="1563"/>
      <c r="K95" s="1563"/>
      <c r="L95" s="1563"/>
      <c r="M95" s="1563"/>
      <c r="N95" s="1563"/>
      <c r="O95" s="1563"/>
      <c r="P95" s="1563"/>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563"/>
      <c r="AM95" s="1563"/>
      <c r="AN95" s="1563"/>
      <c r="AO95" s="1563"/>
      <c r="AP95" s="1563"/>
      <c r="AQ95" s="1563"/>
      <c r="AR95" s="1563"/>
      <c r="AS95" s="1563"/>
      <c r="AT95" s="1563"/>
      <c r="AU95" s="20"/>
      <c r="AV95" s="20"/>
      <c r="AW95" s="20"/>
      <c r="AX95" s="20"/>
      <c r="AY95" s="20"/>
      <c r="AZ95" s="20"/>
      <c r="BD95" s="1247" t="s">
        <v>2588</v>
      </c>
      <c r="BE95" s="1249" t="str">
        <f>Application!M235</f>
        <v>David Rutledge</v>
      </c>
    </row>
    <row r="96" spans="1:57" ht="12.9" customHeight="1">
      <c r="A96" s="1563"/>
      <c r="B96" s="1563"/>
      <c r="C96" s="1563"/>
      <c r="D96" s="1563"/>
      <c r="E96" s="1563"/>
      <c r="F96" s="1563"/>
      <c r="G96" s="1563"/>
      <c r="H96" s="1563"/>
      <c r="I96" s="1563"/>
      <c r="J96" s="1563"/>
      <c r="K96" s="1563"/>
      <c r="L96" s="1563"/>
      <c r="M96" s="1563"/>
      <c r="N96" s="1563"/>
      <c r="O96" s="1563"/>
      <c r="P96" s="1563"/>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563"/>
      <c r="AM96" s="1563"/>
      <c r="AN96" s="1563"/>
      <c r="AO96" s="1563"/>
      <c r="AP96" s="1563"/>
      <c r="AQ96" s="1563"/>
      <c r="AR96" s="1563"/>
      <c r="AS96" s="1563"/>
      <c r="AT96" s="1563"/>
      <c r="AU96" s="20"/>
      <c r="AV96" s="20"/>
      <c r="AW96" s="20"/>
      <c r="AX96" s="20"/>
      <c r="AY96" s="20"/>
      <c r="AZ96" s="20"/>
      <c r="BD96" s="1248" t="s">
        <v>2589</v>
      </c>
      <c r="BE96" s="1249" t="str">
        <f>Application!M237</f>
        <v>david@crdc-housing.org</v>
      </c>
    </row>
    <row r="97" spans="1:57" ht="12.9" customHeight="1">
      <c r="A97" s="1563"/>
      <c r="B97" s="1563"/>
      <c r="C97" s="1563"/>
      <c r="D97" s="1563"/>
      <c r="E97" s="1563"/>
      <c r="F97" s="1563"/>
      <c r="G97" s="1563"/>
      <c r="H97" s="1563"/>
      <c r="I97" s="1563"/>
      <c r="J97" s="1563"/>
      <c r="K97" s="1563"/>
      <c r="L97" s="1563"/>
      <c r="M97" s="1563"/>
      <c r="N97" s="1563"/>
      <c r="O97" s="1563"/>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563"/>
      <c r="AM97" s="1563"/>
      <c r="AN97" s="1563"/>
      <c r="AO97" s="1563"/>
      <c r="AP97" s="1563"/>
      <c r="AQ97" s="1563"/>
      <c r="AR97" s="1563"/>
      <c r="AS97" s="1563"/>
      <c r="AT97" s="1563"/>
      <c r="AU97" s="20"/>
      <c r="AV97" s="20"/>
      <c r="AW97" s="20"/>
      <c r="AX97" s="20"/>
      <c r="AY97" s="20"/>
      <c r="AZ97" s="20"/>
      <c r="BD97" s="1247" t="s">
        <v>2590</v>
      </c>
      <c r="BE97" s="1249" t="str">
        <f>Application!M248</f>
        <v>david@crdc-housing.org</v>
      </c>
    </row>
    <row r="98" spans="1:57" ht="12.9" customHeight="1">
      <c r="A98" s="1563"/>
      <c r="B98" s="1563"/>
      <c r="C98" s="1563"/>
      <c r="D98" s="1563"/>
      <c r="E98" s="1563"/>
      <c r="F98" s="1563"/>
      <c r="G98" s="1563"/>
      <c r="H98" s="1563"/>
      <c r="I98" s="1563"/>
      <c r="J98" s="1563"/>
      <c r="K98" s="1563"/>
      <c r="L98" s="1563"/>
      <c r="M98" s="1563"/>
      <c r="N98" s="1563"/>
      <c r="O98" s="1563"/>
      <c r="P98" s="1563"/>
      <c r="Q98" s="1563"/>
      <c r="R98" s="1563"/>
      <c r="S98" s="1563"/>
      <c r="T98" s="1563"/>
      <c r="U98" s="1563"/>
      <c r="V98" s="1563"/>
      <c r="W98" s="1563"/>
      <c r="X98" s="1563"/>
      <c r="Y98" s="1563"/>
      <c r="Z98" s="1563"/>
      <c r="AA98" s="1563"/>
      <c r="AB98" s="1563"/>
      <c r="AC98" s="1563"/>
      <c r="AD98" s="1563"/>
      <c r="AE98" s="1563"/>
      <c r="AF98" s="1563"/>
      <c r="AG98" s="1563"/>
      <c r="AH98" s="1563"/>
      <c r="AI98" s="1563"/>
      <c r="AJ98" s="1563"/>
      <c r="AK98" s="1563"/>
      <c r="AL98" s="1563"/>
      <c r="AM98" s="1563"/>
      <c r="AN98" s="1563"/>
      <c r="AO98" s="1563"/>
      <c r="AP98" s="1563"/>
      <c r="AQ98" s="1563"/>
      <c r="AR98" s="1563"/>
      <c r="AS98" s="1563"/>
      <c r="AT98" s="1563"/>
      <c r="AU98" s="20"/>
      <c r="AV98" s="20"/>
      <c r="AW98" s="20"/>
      <c r="AX98" s="20"/>
      <c r="AY98" s="20"/>
      <c r="AZ98" s="20"/>
      <c r="BD98" s="1248" t="s">
        <v>2591</v>
      </c>
      <c r="BE98" s="1249" t="str">
        <f>Application!M256</f>
        <v>hwilson@danco-group.com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 customHeight="1">
      <c r="A100" s="1572" t="s">
        <v>2166</v>
      </c>
      <c r="B100" s="1572"/>
      <c r="C100" s="1572"/>
      <c r="D100" s="1572"/>
      <c r="E100" s="1572"/>
      <c r="F100" s="1572"/>
      <c r="G100" s="1572"/>
      <c r="H100" s="1572"/>
      <c r="I100" s="1572"/>
      <c r="J100" s="1572"/>
      <c r="K100" s="1572"/>
      <c r="L100" s="1572"/>
      <c r="M100" s="1572"/>
      <c r="N100" s="1572"/>
      <c r="O100" s="1572"/>
      <c r="P100" s="1572"/>
      <c r="Q100" s="1572"/>
      <c r="R100" s="1572"/>
      <c r="S100" s="1572"/>
      <c r="T100" s="1572"/>
      <c r="U100" s="1572"/>
      <c r="V100" s="1572"/>
      <c r="W100" s="1572"/>
      <c r="X100" s="1572"/>
      <c r="Y100" s="1572"/>
      <c r="Z100" s="1572"/>
      <c r="AA100" s="1572"/>
      <c r="AB100" s="1572"/>
      <c r="AC100" s="1572"/>
      <c r="AD100" s="1572"/>
      <c r="AE100" s="1572"/>
      <c r="AF100" s="1572"/>
      <c r="AG100" s="1572"/>
      <c r="AH100" s="1572"/>
      <c r="AI100" s="1572"/>
      <c r="AJ100" s="1572"/>
      <c r="AK100" s="1572"/>
      <c r="AL100" s="1572"/>
      <c r="AM100" s="1572"/>
      <c r="AN100" s="1572"/>
      <c r="AO100" s="1572"/>
      <c r="AP100" s="1572"/>
      <c r="AQ100" s="1572"/>
      <c r="AR100" s="1572"/>
      <c r="AS100" s="1572"/>
      <c r="AT100" s="1572"/>
      <c r="AU100" s="20"/>
      <c r="AV100" s="20"/>
      <c r="AW100" s="20"/>
      <c r="AX100" s="20"/>
      <c r="AY100" s="20"/>
      <c r="AZ100" s="20"/>
      <c r="BD100" s="1248" t="s">
        <v>2593</v>
      </c>
      <c r="BE100" s="1249" t="str">
        <f>Application!L279</f>
        <v>hwilson@danco-group.com</v>
      </c>
    </row>
    <row r="101" spans="1:57" ht="12.9" customHeight="1">
      <c r="A101" s="1572"/>
      <c r="B101" s="1572"/>
      <c r="C101" s="1572"/>
      <c r="D101" s="1572"/>
      <c r="E101" s="1572"/>
      <c r="F101" s="1572"/>
      <c r="G101" s="1572"/>
      <c r="H101" s="1572"/>
      <c r="I101" s="1572"/>
      <c r="J101" s="1572"/>
      <c r="K101" s="1572"/>
      <c r="L101" s="1572"/>
      <c r="M101" s="1572"/>
      <c r="N101" s="1572"/>
      <c r="O101" s="1572"/>
      <c r="P101" s="1572"/>
      <c r="Q101" s="1572"/>
      <c r="R101" s="1572"/>
      <c r="S101" s="1572"/>
      <c r="T101" s="1572"/>
      <c r="U101" s="1572"/>
      <c r="V101" s="1572"/>
      <c r="W101" s="1572"/>
      <c r="X101" s="1572"/>
      <c r="Y101" s="1572"/>
      <c r="Z101" s="1572"/>
      <c r="AA101" s="1572"/>
      <c r="AB101" s="1572"/>
      <c r="AC101" s="1572"/>
      <c r="AD101" s="1572"/>
      <c r="AE101" s="1572"/>
      <c r="AF101" s="1572"/>
      <c r="AG101" s="1572"/>
      <c r="AH101" s="1572"/>
      <c r="AI101" s="1572"/>
      <c r="AJ101" s="1572"/>
      <c r="AK101" s="1572"/>
      <c r="AL101" s="1572"/>
      <c r="AM101" s="1572"/>
      <c r="AN101" s="1572"/>
      <c r="AO101" s="1572"/>
      <c r="AP101" s="1572"/>
      <c r="AQ101" s="1572"/>
      <c r="AR101" s="1572"/>
      <c r="AS101" s="1572"/>
      <c r="AT101" s="1572"/>
      <c r="AU101" s="20"/>
      <c r="AV101" s="20"/>
      <c r="AW101" s="20"/>
      <c r="AX101" s="20"/>
      <c r="AY101" s="20"/>
      <c r="AZ101" s="20"/>
      <c r="BD101" s="3" t="s">
        <v>2598</v>
      </c>
      <c r="BE101">
        <f>'Sources and Uses Budget'!C105</f>
        <v>38388196</v>
      </c>
    </row>
    <row r="102" spans="1:57" ht="12.9" customHeight="1">
      <c r="A102" s="1572"/>
      <c r="B102" s="1572"/>
      <c r="C102" s="1572"/>
      <c r="D102" s="1572"/>
      <c r="E102" s="1572"/>
      <c r="F102" s="1572"/>
      <c r="G102" s="1572"/>
      <c r="H102" s="1572"/>
      <c r="I102" s="1572"/>
      <c r="J102" s="1572"/>
      <c r="K102" s="1572"/>
      <c r="L102" s="1572"/>
      <c r="M102" s="1572"/>
      <c r="N102" s="1572"/>
      <c r="O102" s="1572"/>
      <c r="P102" s="1572"/>
      <c r="Q102" s="1572"/>
      <c r="R102" s="1572"/>
      <c r="S102" s="1572"/>
      <c r="T102" s="1572"/>
      <c r="U102" s="1572"/>
      <c r="V102" s="1572"/>
      <c r="W102" s="1572"/>
      <c r="X102" s="1572"/>
      <c r="Y102" s="1572"/>
      <c r="Z102" s="1572"/>
      <c r="AA102" s="1572"/>
      <c r="AB102" s="1572"/>
      <c r="AC102" s="1572"/>
      <c r="AD102" s="1572"/>
      <c r="AE102" s="1572"/>
      <c r="AF102" s="1572"/>
      <c r="AG102" s="1572"/>
      <c r="AH102" s="1572"/>
      <c r="AI102" s="1572"/>
      <c r="AJ102" s="1572"/>
      <c r="AK102" s="1572"/>
      <c r="AL102" s="1572"/>
      <c r="AM102" s="1572"/>
      <c r="AN102" s="1572"/>
      <c r="AO102" s="1572"/>
      <c r="AP102" s="1572"/>
      <c r="AQ102" s="1572"/>
      <c r="AR102" s="1572"/>
      <c r="AS102" s="1572"/>
      <c r="AT102" s="1572"/>
      <c r="AU102" s="20"/>
      <c r="AV102" s="20"/>
      <c r="AW102" s="20"/>
      <c r="AX102" s="20"/>
      <c r="AY102" s="20"/>
      <c r="AZ102" s="20"/>
      <c r="BD102" s="3" t="s">
        <v>2599</v>
      </c>
      <c r="BE102" t="b">
        <f>T197="Yes"</f>
        <v>0</v>
      </c>
    </row>
    <row r="103" spans="1:57" ht="12.9" customHeight="1">
      <c r="A103" s="1572"/>
      <c r="B103" s="1572"/>
      <c r="C103" s="1572"/>
      <c r="D103" s="1572"/>
      <c r="E103" s="1572"/>
      <c r="F103" s="1572"/>
      <c r="G103" s="1572"/>
      <c r="H103" s="1572"/>
      <c r="I103" s="1572"/>
      <c r="J103" s="1572"/>
      <c r="K103" s="1572"/>
      <c r="L103" s="1572"/>
      <c r="M103" s="1572"/>
      <c r="N103" s="1572"/>
      <c r="O103" s="1572"/>
      <c r="P103" s="1572"/>
      <c r="Q103" s="1572"/>
      <c r="R103" s="1572"/>
      <c r="S103" s="1572"/>
      <c r="T103" s="1572"/>
      <c r="U103" s="1572"/>
      <c r="V103" s="1572"/>
      <c r="W103" s="1572"/>
      <c r="X103" s="1572"/>
      <c r="Y103" s="1572"/>
      <c r="Z103" s="1572"/>
      <c r="AA103" s="1572"/>
      <c r="AB103" s="1572"/>
      <c r="AC103" s="1572"/>
      <c r="AD103" s="1572"/>
      <c r="AE103" s="1572"/>
      <c r="AF103" s="1572"/>
      <c r="AG103" s="1572"/>
      <c r="AH103" s="1572"/>
      <c r="AI103" s="1572"/>
      <c r="AJ103" s="1572"/>
      <c r="AK103" s="1572"/>
      <c r="AL103" s="1572"/>
      <c r="AM103" s="1572"/>
      <c r="AN103" s="1572"/>
      <c r="AO103" s="1572"/>
      <c r="AP103" s="1572"/>
      <c r="AQ103" s="1572"/>
      <c r="AR103" s="1572"/>
      <c r="AS103" s="1572"/>
      <c r="AT103" s="1572"/>
      <c r="AU103" s="20"/>
      <c r="AV103" s="20"/>
      <c r="AW103" s="20"/>
      <c r="AX103" s="20"/>
      <c r="AY103" s="20"/>
      <c r="BD103" t="s">
        <v>2176</v>
      </c>
      <c r="BE103" s="1249"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72" t="s">
        <v>2167</v>
      </c>
      <c r="B105" s="1572"/>
      <c r="C105" s="1572"/>
      <c r="D105" s="1572"/>
      <c r="E105" s="1572"/>
      <c r="F105" s="1572"/>
      <c r="G105" s="1572"/>
      <c r="H105" s="1572"/>
      <c r="I105" s="1572"/>
      <c r="J105" s="1572"/>
      <c r="K105" s="1572"/>
      <c r="L105" s="1572"/>
      <c r="M105" s="1572"/>
      <c r="N105" s="1572"/>
      <c r="O105" s="1572"/>
      <c r="P105" s="1572"/>
      <c r="Q105" s="1572"/>
      <c r="R105" s="1572"/>
      <c r="S105" s="1572"/>
      <c r="T105" s="1572"/>
      <c r="U105" s="1572"/>
      <c r="V105" s="1572"/>
      <c r="W105" s="1572"/>
      <c r="X105" s="1572"/>
      <c r="Y105" s="1572"/>
      <c r="Z105" s="1572"/>
      <c r="AA105" s="1572"/>
      <c r="AB105" s="1572"/>
      <c r="AC105" s="1572"/>
      <c r="AD105" s="1572"/>
      <c r="AE105" s="1572"/>
      <c r="AF105" s="1572"/>
      <c r="AG105" s="1572"/>
      <c r="AH105" s="1572"/>
      <c r="AI105" s="1572"/>
      <c r="AJ105" s="1572"/>
      <c r="AK105" s="1572"/>
      <c r="AL105" s="1572"/>
      <c r="AM105" s="1572"/>
      <c r="AN105" s="1572"/>
      <c r="AO105" s="1572"/>
      <c r="AP105" s="1572"/>
      <c r="AQ105" s="1572"/>
      <c r="AR105" s="1572"/>
      <c r="AS105" s="1572"/>
      <c r="AT105" s="1572"/>
      <c r="AU105" s="20"/>
      <c r="AV105" s="20"/>
      <c r="AW105" s="20"/>
      <c r="AX105" s="20"/>
      <c r="AY105" s="20"/>
    </row>
    <row r="106" spans="1:57" ht="12.9" customHeight="1">
      <c r="A106" s="1572"/>
      <c r="B106" s="1572"/>
      <c r="C106" s="1572"/>
      <c r="D106" s="1572"/>
      <c r="E106" s="1572"/>
      <c r="F106" s="1572"/>
      <c r="G106" s="1572"/>
      <c r="H106" s="1572"/>
      <c r="I106" s="1572"/>
      <c r="J106" s="1572"/>
      <c r="K106" s="1572"/>
      <c r="L106" s="1572"/>
      <c r="M106" s="1572"/>
      <c r="N106" s="1572"/>
      <c r="O106" s="1572"/>
      <c r="P106" s="1572"/>
      <c r="Q106" s="1572"/>
      <c r="R106" s="1572"/>
      <c r="S106" s="1572"/>
      <c r="T106" s="1572"/>
      <c r="U106" s="1572"/>
      <c r="V106" s="1572"/>
      <c r="W106" s="1572"/>
      <c r="X106" s="1572"/>
      <c r="Y106" s="1572"/>
      <c r="Z106" s="1572"/>
      <c r="AA106" s="1572"/>
      <c r="AB106" s="1572"/>
      <c r="AC106" s="1572"/>
      <c r="AD106" s="1572"/>
      <c r="AE106" s="1572"/>
      <c r="AF106" s="1572"/>
      <c r="AG106" s="1572"/>
      <c r="AH106" s="1572"/>
      <c r="AI106" s="1572"/>
      <c r="AJ106" s="1572"/>
      <c r="AK106" s="1572"/>
      <c r="AL106" s="1572"/>
      <c r="AM106" s="1572"/>
      <c r="AN106" s="1572"/>
      <c r="AO106" s="1572"/>
      <c r="AP106" s="1572"/>
      <c r="AQ106" s="1572"/>
      <c r="AR106" s="1572"/>
      <c r="AS106" s="1572"/>
      <c r="AT106" s="1572"/>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65">
        <v>5</v>
      </c>
      <c r="H113" s="1565"/>
      <c r="I113" s="3" t="s">
        <v>182</v>
      </c>
      <c r="L113" s="1565" t="s">
        <v>2730</v>
      </c>
      <c r="M113" s="1565"/>
      <c r="N113" s="1565"/>
      <c r="O113" s="1565"/>
      <c r="P113" s="1579" t="s">
        <v>2240</v>
      </c>
      <c r="Q113" s="1579"/>
      <c r="R113" s="1579"/>
      <c r="S113" s="157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66" t="s">
        <v>2637</v>
      </c>
      <c r="D115" s="1566"/>
      <c r="E115" s="1566"/>
      <c r="F115" s="1566"/>
      <c r="G115" s="1566"/>
      <c r="H115" s="1566"/>
      <c r="I115" s="1566"/>
      <c r="J115" s="1566"/>
      <c r="K115" s="156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65"/>
      <c r="Z117" s="1565"/>
      <c r="AA117" s="1565"/>
      <c r="AB117" s="1565"/>
      <c r="AC117" s="1565"/>
      <c r="AD117" s="1565"/>
      <c r="AE117" s="1565"/>
      <c r="AF117" s="1565"/>
      <c r="AG117" s="1565"/>
      <c r="AH117" s="1565"/>
      <c r="AI117" s="1565"/>
      <c r="AJ117" s="1565"/>
      <c r="AK117" s="1565"/>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65" t="s">
        <v>2626</v>
      </c>
      <c r="Z120" s="1565"/>
      <c r="AA120" s="1565"/>
      <c r="AB120" s="1565"/>
      <c r="AC120" s="1565"/>
      <c r="AD120" s="1565"/>
      <c r="AE120" s="1565"/>
      <c r="AF120" s="1565"/>
      <c r="AG120" s="1565"/>
      <c r="AH120" s="1565"/>
      <c r="AI120" s="1565"/>
      <c r="AJ120" s="1565"/>
      <c r="AK120" s="1565"/>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8" t="s">
        <v>470</v>
      </c>
      <c r="CV122" s="1709"/>
      <c r="CW122" s="14"/>
      <c r="CX122" s="14" t="s">
        <v>635</v>
      </c>
      <c r="CY122" s="14"/>
      <c r="CZ122" s="14"/>
      <c r="DA122" s="14"/>
      <c r="DB122" s="14"/>
      <c r="DC122" s="14"/>
      <c r="DD122" s="14"/>
      <c r="DE122" s="14"/>
      <c r="DF122" s="14"/>
      <c r="DG122" s="1705" t="str">
        <f>T189</f>
        <v>Humboldt</v>
      </c>
      <c r="DH122" s="1706"/>
      <c r="DI122" s="1706"/>
      <c r="DJ122" s="1706"/>
      <c r="DK122" s="1706"/>
      <c r="DL122" s="1706"/>
      <c r="DM122" s="1707"/>
    </row>
    <row r="123" spans="1:117" ht="12.9" customHeight="1">
      <c r="A123" s="3"/>
      <c r="B123" s="3"/>
      <c r="T123" s="3"/>
      <c r="U123" s="3"/>
      <c r="V123" s="3"/>
      <c r="W123" s="3"/>
      <c r="X123" s="3"/>
      <c r="Y123" s="1565" t="s">
        <v>2732</v>
      </c>
      <c r="Z123" s="1565"/>
      <c r="AA123" s="1565"/>
      <c r="AB123" s="1565"/>
      <c r="AC123" s="1565"/>
      <c r="AD123" s="1565"/>
      <c r="AE123" s="1565"/>
      <c r="AF123" s="1565"/>
      <c r="AG123" s="1565"/>
      <c r="AH123" s="1565"/>
      <c r="AI123" s="1565"/>
      <c r="AJ123" s="1565"/>
      <c r="AK123" s="1565"/>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44"/>
      <c r="G150" s="1444"/>
      <c r="H150" s="1444"/>
      <c r="I150" s="1444"/>
      <c r="J150" s="1444"/>
      <c r="K150" s="1444"/>
      <c r="L150" s="1444"/>
      <c r="M150" s="1444"/>
      <c r="N150" s="1444"/>
      <c r="O150" s="1444"/>
      <c r="P150" s="1444"/>
      <c r="Q150" s="1444"/>
      <c r="R150" s="1444"/>
      <c r="S150" s="1444"/>
      <c r="T150" s="144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646</v>
      </c>
      <c r="O153" s="1543" t="s">
        <v>2615</v>
      </c>
      <c r="P153" s="1543"/>
      <c r="Q153" s="1543"/>
      <c r="R153" s="1543"/>
      <c r="S153" s="1543"/>
      <c r="T153" s="1543"/>
      <c r="U153" s="1543"/>
      <c r="V153" s="1543"/>
      <c r="W153" s="1543"/>
      <c r="X153" s="1543"/>
      <c r="Y153" s="1543"/>
      <c r="Z153" s="1543"/>
      <c r="AA153" s="1543"/>
      <c r="AB153" s="1543"/>
      <c r="AC153" s="1543"/>
      <c r="AD153" s="1543"/>
      <c r="AE153" s="1543"/>
      <c r="AF153" s="1543"/>
      <c r="AG153" s="1543"/>
      <c r="AH153" s="1543"/>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303" t="s">
        <v>440</v>
      </c>
      <c r="O154" s="1552" t="s">
        <v>2616</v>
      </c>
      <c r="P154" s="1342"/>
      <c r="Q154" s="1342"/>
      <c r="R154" s="1342"/>
      <c r="S154" s="1342"/>
      <c r="T154" s="1342"/>
      <c r="U154" s="1342"/>
      <c r="V154" s="1342"/>
      <c r="W154" s="1342"/>
      <c r="X154" s="1342"/>
      <c r="Y154" s="1342"/>
      <c r="Z154" s="1342"/>
      <c r="AA154" s="1342"/>
      <c r="AB154" s="1342"/>
      <c r="AC154" s="1342"/>
      <c r="AD154" s="1342"/>
      <c r="AE154" s="1342"/>
      <c r="AF154" s="1342"/>
      <c r="AG154" s="1342"/>
      <c r="AH154" s="1342"/>
      <c r="BM154">
        <v>6</v>
      </c>
      <c r="BN154" s="3" t="s">
        <v>2468</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51" t="s">
        <v>441</v>
      </c>
      <c r="P155" s="1551"/>
      <c r="Q155" s="1551"/>
      <c r="R155" s="1551"/>
      <c r="S155" s="1551"/>
      <c r="T155" s="1551"/>
      <c r="U155" s="1551"/>
      <c r="V155" s="1551"/>
      <c r="W155" s="1551"/>
      <c r="X155" s="1551"/>
      <c r="Y155" s="1551"/>
      <c r="Z155" s="1551"/>
      <c r="AA155" s="1551"/>
      <c r="AB155" s="1551"/>
      <c r="AC155" s="1551"/>
      <c r="AD155" s="1551"/>
      <c r="AE155" s="1551"/>
      <c r="AF155" s="1551"/>
      <c r="AG155" s="1551"/>
      <c r="AH155" s="1551"/>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341" t="s">
        <v>2617</v>
      </c>
      <c r="P156" s="1341"/>
      <c r="Q156" s="1341"/>
      <c r="R156" s="1341"/>
      <c r="S156" s="1341"/>
      <c r="T156" s="1341"/>
      <c r="U156" s="1341"/>
      <c r="V156" s="1341"/>
      <c r="W156" s="1341"/>
      <c r="X156" s="1341"/>
      <c r="Y156" s="1341"/>
      <c r="Z156" s="1341"/>
      <c r="AA156" s="1341"/>
      <c r="AB156" s="1341"/>
      <c r="AC156" s="1341"/>
      <c r="AD156" s="1341"/>
      <c r="AE156" s="1341"/>
      <c r="AF156" s="1341"/>
      <c r="AG156" s="1341"/>
      <c r="AH156" s="134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41" t="s">
        <v>2618</v>
      </c>
      <c r="P157" s="1543"/>
      <c r="Q157" s="1543"/>
      <c r="R157" s="1543"/>
      <c r="S157" s="1543"/>
      <c r="T157" s="1543"/>
      <c r="U157" s="1543"/>
      <c r="V157" s="1543"/>
      <c r="W157" s="1543"/>
      <c r="X157" s="1543"/>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75">
        <v>95501</v>
      </c>
      <c r="P158" s="1575"/>
      <c r="Q158" s="1575"/>
      <c r="R158" s="157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70" t="s">
        <v>2619</v>
      </c>
      <c r="P159" s="1570"/>
      <c r="Q159" s="1570"/>
      <c r="R159" s="1570"/>
      <c r="S159" s="1570"/>
      <c r="T159" s="1570"/>
      <c r="V159" s="97" t="s">
        <v>271</v>
      </c>
      <c r="W159" s="1576"/>
      <c r="X159" s="157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70"/>
      <c r="P160" s="1570"/>
      <c r="Q160" s="1570"/>
      <c r="R160" s="1570"/>
      <c r="S160" s="1570"/>
      <c r="T160" s="157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59" t="s">
        <v>2620</v>
      </c>
      <c r="P161" s="1559"/>
      <c r="Q161" s="1559"/>
      <c r="R161" s="1559"/>
      <c r="S161" s="1559"/>
      <c r="T161" s="1559"/>
      <c r="U161" s="1559"/>
      <c r="V161" s="1559"/>
      <c r="W161" s="1559"/>
      <c r="X161" s="1559"/>
      <c r="Y161" s="1559"/>
      <c r="Z161" s="1559"/>
      <c r="AA161" s="1559"/>
      <c r="AB161" s="1559"/>
      <c r="AC161" s="1559"/>
      <c r="AD161" s="1559"/>
      <c r="AE161" s="1559"/>
      <c r="AF161" s="1559"/>
      <c r="AG161" s="1559"/>
      <c r="AH161" s="155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67" t="s">
        <v>2217</v>
      </c>
      <c r="E164" s="1567"/>
      <c r="F164" s="1567"/>
      <c r="G164" s="1567"/>
      <c r="H164" s="1567"/>
      <c r="I164" s="1567"/>
      <c r="J164" s="1567"/>
      <c r="K164" s="1567"/>
      <c r="L164" s="1567"/>
      <c r="M164" s="1567"/>
      <c r="N164" s="1567"/>
      <c r="O164" s="1567"/>
      <c r="P164" s="1567"/>
      <c r="Q164" s="1567"/>
      <c r="R164" s="1567"/>
      <c r="S164" s="1567"/>
      <c r="T164" s="1567"/>
      <c r="U164" s="1567"/>
      <c r="V164" s="1567"/>
      <c r="W164" s="1567"/>
      <c r="X164" s="1567"/>
      <c r="Y164" s="1567"/>
      <c r="Z164" s="1567"/>
      <c r="AA164" s="1567"/>
      <c r="AB164" s="1567"/>
      <c r="AC164" s="1567"/>
      <c r="AD164" s="1567"/>
      <c r="AE164" s="1567"/>
      <c r="AF164" s="1567"/>
      <c r="AG164" s="1567"/>
      <c r="AH164" s="156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54" t="s">
        <v>540</v>
      </c>
      <c r="B169" s="1554"/>
      <c r="C169" s="1554"/>
      <c r="D169" s="1554"/>
      <c r="E169" s="1554"/>
      <c r="F169" s="1554"/>
      <c r="G169" s="1554"/>
      <c r="H169" s="1554"/>
      <c r="I169" s="1554"/>
      <c r="J169" s="1554"/>
      <c r="K169" s="1554"/>
      <c r="L169" s="1554"/>
      <c r="M169" s="1554"/>
      <c r="N169" s="1554"/>
      <c r="O169" s="1554"/>
      <c r="P169" s="1554"/>
      <c r="Q169" s="1554"/>
      <c r="R169" s="1554"/>
      <c r="S169" s="1554"/>
      <c r="T169" s="1554"/>
      <c r="U169" s="1554"/>
      <c r="V169" s="1554"/>
      <c r="W169" s="1554"/>
      <c r="X169" s="1554"/>
      <c r="Y169" s="1554"/>
      <c r="Z169" s="1554"/>
      <c r="AA169" s="1554"/>
      <c r="AB169" s="1554"/>
      <c r="AC169" s="1554"/>
      <c r="AD169" s="1554"/>
      <c r="AE169" s="1554"/>
      <c r="AF169" s="1554"/>
      <c r="AG169" s="1554"/>
      <c r="AH169" s="1554"/>
      <c r="AI169" s="1554"/>
      <c r="AJ169" s="1554"/>
      <c r="AK169" s="1554"/>
      <c r="AL169" s="1554"/>
      <c r="AM169" s="1554"/>
      <c r="AN169" s="1554"/>
      <c r="AO169" s="1554"/>
      <c r="AP169" s="1554"/>
      <c r="AQ169" s="1554"/>
      <c r="AR169" s="1554"/>
      <c r="AS169" s="1554"/>
      <c r="AT169" s="155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54"/>
      <c r="B170" s="1554"/>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50" t="s">
        <v>371</v>
      </c>
      <c r="K173" s="1550"/>
      <c r="L173" s="1550"/>
      <c r="M173" s="1550"/>
      <c r="N173" s="1550"/>
      <c r="O173" s="1550"/>
      <c r="P173" s="1550"/>
      <c r="Q173" s="1550"/>
      <c r="R173" s="1550"/>
      <c r="S173" s="155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341" t="s">
        <v>2102</v>
      </c>
      <c r="K174" s="1341"/>
      <c r="L174" s="1341"/>
      <c r="M174" s="1341"/>
      <c r="N174" s="1341"/>
      <c r="O174" s="1341"/>
      <c r="P174" s="1341"/>
      <c r="Q174" s="1341"/>
      <c r="R174" s="1341"/>
      <c r="S174" s="1341"/>
      <c r="T174" s="1341"/>
      <c r="U174" s="1341"/>
      <c r="V174" s="1341"/>
      <c r="W174" s="1341"/>
      <c r="X174" s="1341"/>
      <c r="Y174" s="1341"/>
      <c r="Z174" s="1341"/>
      <c r="AA174" s="1341"/>
      <c r="AB174" s="134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7" t="s">
        <v>546</v>
      </c>
      <c r="V175" s="1337"/>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27">
        <v>25</v>
      </c>
      <c r="V176" s="1527"/>
      <c r="W176" s="1" t="s">
        <v>306</v>
      </c>
      <c r="X176" s="1583">
        <v>116</v>
      </c>
      <c r="Y176" s="158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7" t="s">
        <v>670</v>
      </c>
      <c r="S177" s="1337"/>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2080</v>
      </c>
      <c r="AE178" s="27" t="s">
        <v>305</v>
      </c>
      <c r="AF178" s="1582"/>
      <c r="AG178" s="1582"/>
      <c r="AH178" s="1" t="s">
        <v>306</v>
      </c>
      <c r="AI178" s="1476"/>
      <c r="AJ178" s="1476"/>
      <c r="AK178" s="147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337" t="s">
        <v>670</v>
      </c>
      <c r="Y180" s="1337"/>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336" t="str">
        <f>H18</f>
        <v>EaRTH Center</v>
      </c>
      <c r="J184" s="1336"/>
      <c r="K184" s="1336"/>
      <c r="L184" s="1336"/>
      <c r="M184" s="1336"/>
      <c r="N184" s="1336"/>
      <c r="O184" s="1336"/>
      <c r="P184" s="1336"/>
      <c r="Q184" s="1336"/>
      <c r="R184" s="1336"/>
      <c r="S184" s="1336"/>
      <c r="T184" s="1336"/>
      <c r="U184" s="1336"/>
      <c r="V184" s="1336"/>
      <c r="W184" s="1336"/>
      <c r="X184" s="1336"/>
      <c r="Y184" s="1336"/>
      <c r="Z184" s="1336"/>
      <c r="AA184" s="1336"/>
      <c r="AB184" s="1336"/>
      <c r="AC184" s="1336"/>
      <c r="AD184" s="1336"/>
      <c r="AE184" s="1336"/>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410" t="s">
        <v>2621</v>
      </c>
      <c r="J185" s="1410"/>
      <c r="K185" s="1410"/>
      <c r="L185" s="1410"/>
      <c r="M185" s="1410"/>
      <c r="N185" s="1410"/>
      <c r="O185" s="1410"/>
      <c r="P185" s="1410"/>
      <c r="Q185" s="1410"/>
      <c r="R185" s="1410"/>
      <c r="S185" s="1410"/>
      <c r="T185" s="1410"/>
      <c r="U185" s="1410"/>
      <c r="V185" s="1410"/>
      <c r="W185" s="1410"/>
      <c r="X185" s="1410"/>
      <c r="Y185" s="1410"/>
      <c r="Z185" s="1410"/>
      <c r="AA185" s="1410"/>
      <c r="AB185" s="1410"/>
      <c r="AC185" s="1410"/>
      <c r="AD185" s="1410"/>
      <c r="AE185" s="1410"/>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48"/>
      <c r="F187" s="1548"/>
      <c r="G187" s="1548"/>
      <c r="H187" s="1548"/>
      <c r="I187" s="1548"/>
      <c r="J187" s="1548"/>
      <c r="K187" s="1548"/>
      <c r="L187" s="1548"/>
      <c r="M187" s="1548"/>
      <c r="N187" s="1548"/>
      <c r="O187" s="1548"/>
      <c r="P187" s="1548"/>
      <c r="Q187" s="1548"/>
      <c r="R187" s="1548"/>
      <c r="S187" s="1548"/>
      <c r="T187" s="1548"/>
      <c r="U187" s="1548"/>
      <c r="V187" s="1548"/>
      <c r="W187" s="1548"/>
      <c r="X187" s="1548"/>
      <c r="Y187" s="1548"/>
      <c r="Z187" s="1548"/>
      <c r="AA187" s="1548"/>
      <c r="AB187" s="1548"/>
      <c r="AC187" s="1548"/>
      <c r="AD187" s="1548"/>
      <c r="AE187" s="154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49"/>
      <c r="F188" s="1549"/>
      <c r="G188" s="1549"/>
      <c r="H188" s="1549"/>
      <c r="I188" s="1549"/>
      <c r="J188" s="1549"/>
      <c r="K188" s="1549"/>
      <c r="L188" s="1549"/>
      <c r="M188" s="1549"/>
      <c r="N188" s="1549"/>
      <c r="O188" s="1549"/>
      <c r="P188" s="1549"/>
      <c r="Q188" s="1549"/>
      <c r="R188" s="1549"/>
      <c r="S188" s="1549"/>
      <c r="T188" s="1549"/>
      <c r="U188" s="1549"/>
      <c r="V188" s="1549"/>
      <c r="W188" s="1549"/>
      <c r="X188" s="1549"/>
      <c r="Y188" s="1549"/>
      <c r="Z188" s="1549"/>
      <c r="AA188" s="1549"/>
      <c r="AB188" s="1549"/>
      <c r="AC188" s="1549"/>
      <c r="AD188" s="1549"/>
      <c r="AE188" s="154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541" t="s">
        <v>2618</v>
      </c>
      <c r="J189" s="1341"/>
      <c r="K189" s="1341"/>
      <c r="L189" s="1341"/>
      <c r="M189" s="1341"/>
      <c r="N189" s="1341"/>
      <c r="O189" s="1341"/>
      <c r="P189" s="1341"/>
      <c r="Q189" t="s">
        <v>583</v>
      </c>
      <c r="T189" s="1341" t="s">
        <v>488</v>
      </c>
      <c r="U189" s="1341"/>
      <c r="V189" s="1341"/>
      <c r="W189" s="1341"/>
      <c r="X189" s="1341"/>
      <c r="Y189" s="1341"/>
      <c r="Z189" s="1341"/>
      <c r="AA189" s="1341"/>
      <c r="AB189" s="1341"/>
      <c r="AC189" s="1341"/>
      <c r="AD189" s="1341"/>
      <c r="AE189" s="134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410">
        <v>95501</v>
      </c>
      <c r="J190" s="1410"/>
      <c r="K190" s="1410"/>
      <c r="L190" s="1410"/>
      <c r="M190" s="1410"/>
      <c r="N190" s="1410"/>
      <c r="O190" t="s">
        <v>586</v>
      </c>
      <c r="T190" s="1573">
        <v>1</v>
      </c>
      <c r="U190" s="1573"/>
      <c r="V190" s="1573"/>
      <c r="W190" s="1573"/>
      <c r="X190" s="1573"/>
      <c r="Y190" s="1573"/>
      <c r="Z190" s="1573"/>
      <c r="AA190" s="1573"/>
      <c r="AB190" s="1573"/>
      <c r="AC190" s="1573"/>
      <c r="AD190" s="1573"/>
      <c r="AE190" s="157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48" t="s">
        <v>2639</v>
      </c>
      <c r="O191" s="1548"/>
      <c r="P191" s="1548"/>
      <c r="Q191" s="1548"/>
      <c r="R191" s="1548"/>
      <c r="S191" s="1548"/>
      <c r="T191" s="1548"/>
      <c r="U191" s="1548"/>
      <c r="V191" s="1548"/>
      <c r="W191" s="1548"/>
      <c r="X191" s="1548"/>
      <c r="Y191" s="1548"/>
      <c r="Z191" s="1548"/>
      <c r="AA191" s="1548"/>
      <c r="AB191" s="1548"/>
      <c r="AC191" s="1548"/>
      <c r="AD191" s="1548"/>
      <c r="AE191" s="154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49"/>
      <c r="O192" s="1549"/>
      <c r="P192" s="1549"/>
      <c r="Q192" s="1549"/>
      <c r="R192" s="1549"/>
      <c r="S192" s="1549"/>
      <c r="T192" s="1549"/>
      <c r="U192" s="1549"/>
      <c r="V192" s="1549"/>
      <c r="W192" s="1549"/>
      <c r="X192" s="1549"/>
      <c r="Y192" s="1549"/>
      <c r="Z192" s="1549"/>
      <c r="AA192" s="1549"/>
      <c r="AB192" s="1549"/>
      <c r="AC192" s="1549"/>
      <c r="AD192" s="1549"/>
      <c r="AE192" s="154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77" t="s">
        <v>2214</v>
      </c>
      <c r="U193" s="1577"/>
      <c r="V193" s="1577"/>
      <c r="W193" s="1577"/>
      <c r="X193" s="1577"/>
      <c r="Y193" s="1577"/>
      <c r="Z193" s="1577"/>
      <c r="AA193" s="1577"/>
      <c r="AB193" s="1577"/>
      <c r="AC193" s="1577"/>
      <c r="AD193" s="1577"/>
      <c r="AE193" s="1577"/>
      <c r="AF193" s="1577"/>
      <c r="AG193" s="1577"/>
      <c r="AH193" s="1577"/>
      <c r="AI193" s="1577"/>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337" t="s">
        <v>670</v>
      </c>
      <c r="AI194" s="1337"/>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337" t="s">
        <v>546</v>
      </c>
      <c r="U195" s="1337"/>
      <c r="W195" t="s">
        <v>685</v>
      </c>
      <c r="AH195" s="1337">
        <v>2</v>
      </c>
      <c r="AI195" s="1337"/>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58" t="s">
        <v>546</v>
      </c>
      <c r="U196" s="1458"/>
      <c r="W196" t="s">
        <v>686</v>
      </c>
      <c r="AH196" s="1337">
        <v>2</v>
      </c>
      <c r="AI196" s="1337"/>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58" t="s">
        <v>670</v>
      </c>
      <c r="U197" s="1458"/>
      <c r="W197" t="s">
        <v>687</v>
      </c>
      <c r="AH197" s="1337">
        <v>2</v>
      </c>
      <c r="AI197" s="1337"/>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1653</v>
      </c>
      <c r="E198"/>
      <c r="F198"/>
      <c r="G198"/>
      <c r="H198"/>
      <c r="I198"/>
      <c r="J198"/>
      <c r="K198"/>
      <c r="L198"/>
      <c r="M198"/>
      <c r="N198"/>
      <c r="O198"/>
      <c r="P198"/>
      <c r="Q198"/>
      <c r="R198"/>
      <c r="S198"/>
      <c r="T198" s="1458">
        <v>0</v>
      </c>
      <c r="U198" s="1458"/>
      <c r="V198"/>
      <c r="X198" s="1555" t="s">
        <v>2514</v>
      </c>
      <c r="Y198" s="1555"/>
      <c r="Z198" s="1555"/>
      <c r="AA198" s="1555"/>
      <c r="AB198" s="1555"/>
      <c r="AC198" s="1555"/>
      <c r="AD198" s="1555"/>
      <c r="AE198" s="1555"/>
      <c r="AF198" s="1555"/>
      <c r="AG198" s="1555"/>
      <c r="AH198" s="1555"/>
      <c r="AI198" s="1555"/>
      <c r="AJ198" s="1555"/>
      <c r="AK198" s="1555"/>
      <c r="AL198" s="1555"/>
      <c r="AM198" s="1555"/>
      <c r="AN198" s="1555"/>
      <c r="AO198" s="1555"/>
      <c r="AP198" s="1555"/>
      <c r="AQ198" s="1555"/>
      <c r="AR198" s="1555"/>
      <c r="AS198" s="1555"/>
      <c r="AT198" s="155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337" t="s">
        <v>546</v>
      </c>
      <c r="U199" s="1337"/>
      <c r="V199"/>
      <c r="W199"/>
      <c r="X199" s="1555"/>
      <c r="Y199" s="1555"/>
      <c r="Z199" s="1555"/>
      <c r="AA199" s="1555"/>
      <c r="AB199" s="1555"/>
      <c r="AC199" s="1555"/>
      <c r="AD199" s="1555"/>
      <c r="AE199" s="1555"/>
      <c r="AF199" s="1555"/>
      <c r="AG199" s="1555"/>
      <c r="AH199" s="1555"/>
      <c r="AI199" s="1555"/>
      <c r="AJ199" s="1555"/>
      <c r="AK199" s="1555"/>
      <c r="AL199" s="1555"/>
      <c r="AM199" s="1555"/>
      <c r="AN199" s="1555"/>
      <c r="AO199" s="1555"/>
      <c r="AP199" s="1555"/>
      <c r="AQ199" s="1555"/>
      <c r="AR199" s="1555"/>
      <c r="AS199" s="1555"/>
      <c r="AT199" s="155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2515</v>
      </c>
      <c r="T200" s="1337" t="s">
        <v>670</v>
      </c>
      <c r="U200" s="1337"/>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336" t="s">
        <v>385</v>
      </c>
      <c r="E204" s="1336"/>
      <c r="F204" s="1336"/>
      <c r="G204" s="1336"/>
      <c r="H204" s="1336"/>
      <c r="I204" s="1336"/>
      <c r="J204" s="1336"/>
      <c r="K204" s="1336"/>
      <c r="L204" s="1336"/>
      <c r="M204" s="1336"/>
      <c r="P204" s="1568">
        <f>M26</f>
        <v>1869766</v>
      </c>
      <c r="Q204" s="1569"/>
      <c r="R204" s="1569"/>
      <c r="S204" s="1569"/>
      <c r="T204" s="1569"/>
      <c r="U204" s="156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57" t="s">
        <v>1248</v>
      </c>
      <c r="E205" s="1336"/>
      <c r="F205" s="1336"/>
      <c r="G205" s="1336"/>
      <c r="H205" s="1336"/>
      <c r="I205" s="1336"/>
      <c r="J205" s="1336"/>
      <c r="K205" s="1336"/>
      <c r="L205" s="1336"/>
      <c r="M205" s="1336"/>
      <c r="P205" s="1569">
        <f>M27</f>
        <v>0</v>
      </c>
      <c r="Q205" s="1569"/>
      <c r="R205" s="1569"/>
      <c r="S205" s="1569"/>
      <c r="T205" s="1569"/>
      <c r="U205" s="1569"/>
      <c r="V205" s="28"/>
      <c r="W205" s="3" t="s">
        <v>1721</v>
      </c>
      <c r="Z205" s="1553" t="s">
        <v>2220</v>
      </c>
      <c r="AA205" s="1553"/>
      <c r="AB205" s="1553"/>
      <c r="AC205" s="1553"/>
      <c r="AD205" s="1553"/>
      <c r="AE205" s="1553"/>
      <c r="AF205" s="1553"/>
      <c r="AG205" s="1553"/>
      <c r="AH205" s="1553"/>
      <c r="AI205" s="1553"/>
      <c r="AJ205" s="1553"/>
      <c r="AK205" s="1553"/>
      <c r="AL205" s="1553"/>
      <c r="AM205" s="1553"/>
      <c r="AN205" s="1553"/>
      <c r="AP205" s="1444"/>
      <c r="AQ205" s="1444"/>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43" t="s">
        <v>2622</v>
      </c>
      <c r="E208" s="1543"/>
      <c r="F208" s="1543"/>
      <c r="G208" s="1543"/>
      <c r="H208" s="1543"/>
      <c r="I208" s="1543"/>
      <c r="J208" s="1543"/>
      <c r="K208" s="1543"/>
      <c r="L208" s="1543"/>
      <c r="M208" s="1543"/>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43" t="s">
        <v>1042</v>
      </c>
      <c r="E211" s="1543"/>
      <c r="F211" s="1543"/>
      <c r="G211" s="1543"/>
      <c r="H211" s="1543"/>
      <c r="I211" s="1543"/>
      <c r="J211" s="1543"/>
      <c r="K211" s="1543"/>
      <c r="L211" s="1543"/>
      <c r="M211" s="1543"/>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337">
        <v>11</v>
      </c>
      <c r="R212" s="1337"/>
      <c r="T212" s="1580">
        <f>IFERROR(Q212/AG440,0)</f>
        <v>0.24444444444444444</v>
      </c>
      <c r="U212" s="1581"/>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64" t="s">
        <v>592</v>
      </c>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1654</v>
      </c>
      <c r="Z215" s="40"/>
      <c r="AB215" s="1538"/>
      <c r="AC215" s="1538"/>
      <c r="AD215" s="1538"/>
      <c r="AE215" s="1538"/>
      <c r="AF215" s="1538"/>
      <c r="AG215" s="1538"/>
      <c r="AH215" s="1538"/>
      <c r="AI215" s="1538"/>
      <c r="AJ215" s="1538"/>
      <c r="AK215" s="1538"/>
      <c r="AL215" s="153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1652</v>
      </c>
      <c r="Z216" s="40"/>
      <c r="AB216" s="1538"/>
      <c r="AC216" s="1538"/>
      <c r="AD216" s="1538"/>
      <c r="AE216" s="1538"/>
      <c r="AF216" s="1538"/>
      <c r="AG216" s="1538"/>
      <c r="AH216" s="1538"/>
      <c r="AI216" s="1538"/>
      <c r="AJ216" s="1538"/>
      <c r="AK216" s="1538"/>
      <c r="AL216" s="153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2234</v>
      </c>
      <c r="D218" s="28"/>
      <c r="AC218" s="2" t="s">
        <v>2463</v>
      </c>
      <c r="BC218" t="s">
        <v>530</v>
      </c>
    </row>
    <row r="219" spans="1:108" ht="12.9" customHeight="1">
      <c r="A219" s="2"/>
      <c r="C219" s="2"/>
      <c r="D219" s="3" t="s">
        <v>2464</v>
      </c>
      <c r="AZ219" s="3"/>
      <c r="BA219" s="3"/>
      <c r="BC219" t="s">
        <v>377</v>
      </c>
    </row>
    <row r="220" spans="1:108" ht="12.9" customHeight="1">
      <c r="A220" s="2"/>
      <c r="C220" s="2"/>
      <c r="D220" s="1543" t="s">
        <v>592</v>
      </c>
      <c r="E220" s="1543"/>
      <c r="F220" s="1543"/>
      <c r="G220" s="1543"/>
      <c r="H220" s="1543"/>
      <c r="I220" s="1543"/>
      <c r="J220" s="1543"/>
      <c r="K220" s="1543"/>
      <c r="L220" s="1543"/>
      <c r="M220" s="1543"/>
      <c r="N220" s="1543"/>
      <c r="O220" s="1543"/>
      <c r="P220" s="1543"/>
      <c r="Q220" s="1543"/>
      <c r="R220" s="1543"/>
      <c r="S220" s="1543"/>
      <c r="T220" s="1543"/>
      <c r="U220" s="1543"/>
      <c r="V220" s="1543"/>
      <c r="W220" s="1543"/>
      <c r="X220" s="1543"/>
      <c r="Y220" s="1543"/>
      <c r="Z220" s="1543"/>
      <c r="AC220" s="1556" t="s">
        <v>592</v>
      </c>
      <c r="AD220" s="1556"/>
      <c r="AE220" s="1556"/>
      <c r="AF220" s="1556"/>
      <c r="AG220" s="1556"/>
      <c r="AH220" s="1556"/>
      <c r="AI220" s="1556"/>
      <c r="AJ220" s="1556"/>
      <c r="AK220" s="1556"/>
      <c r="AL220" s="1556"/>
      <c r="AM220" s="1556"/>
      <c r="AN220" s="1556"/>
      <c r="AO220" s="1556"/>
      <c r="AP220" s="1556"/>
      <c r="AQ220" s="1556"/>
      <c r="BA220" s="3"/>
      <c r="BC220" t="s">
        <v>300</v>
      </c>
    </row>
    <row r="221" spans="1:108" ht="12.9" customHeight="1">
      <c r="A221" s="2"/>
      <c r="B221" s="14"/>
      <c r="C221" s="2"/>
      <c r="BA221" s="3"/>
    </row>
    <row r="222" spans="1:108" ht="12.9" customHeight="1">
      <c r="A222" s="1554" t="s">
        <v>541</v>
      </c>
      <c r="B222" s="1554"/>
      <c r="C222" s="1554"/>
      <c r="D222" s="1554"/>
      <c r="E222" s="1554"/>
      <c r="F222" s="1554"/>
      <c r="G222" s="1554"/>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95"/>
      <c r="AV222" s="95"/>
      <c r="AW222" s="95"/>
      <c r="AX222" s="95"/>
      <c r="AY222" s="95"/>
      <c r="AZ222" s="3"/>
      <c r="BA222" s="3"/>
      <c r="BP222" s="34"/>
    </row>
    <row r="223" spans="1:108" ht="12.9" customHeight="1">
      <c r="A223" s="1554"/>
      <c r="B223" s="1554"/>
      <c r="C223" s="1554"/>
      <c r="D223" s="1554"/>
      <c r="E223" s="1554"/>
      <c r="F223" s="1554"/>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7" t="s">
        <v>592</v>
      </c>
      <c r="AJ226" s="1337"/>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7" t="s">
        <v>546</v>
      </c>
      <c r="AJ227" s="1337"/>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7" t="s">
        <v>592</v>
      </c>
      <c r="AJ228" s="1337"/>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7" t="s">
        <v>592</v>
      </c>
      <c r="AJ229" s="1337"/>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74" t="str">
        <f>H16</f>
        <v xml:space="preserve">Community Revitalization and Development Corporation </v>
      </c>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Z232" s="4"/>
      <c r="BA232" s="3"/>
      <c r="BB232" s="205" t="s">
        <v>539</v>
      </c>
      <c r="BG232" s="241">
        <f>IF(AND(AND($M$249="nonprofit",$M$257="nonprofit",$M$265="for profit")),2,0)</f>
        <v>0</v>
      </c>
    </row>
    <row r="233" spans="1:59" ht="12.9" customHeight="1">
      <c r="D233" s="4" t="s">
        <v>85</v>
      </c>
      <c r="E233" s="4"/>
      <c r="F233" s="4"/>
      <c r="G233" s="4"/>
      <c r="H233" s="4"/>
      <c r="I233" s="4"/>
      <c r="J233" s="4"/>
      <c r="K233" s="4"/>
      <c r="M233" s="1543" t="s">
        <v>2623</v>
      </c>
      <c r="N233" s="1543"/>
      <c r="O233" s="1543"/>
      <c r="P233" s="1543"/>
      <c r="Q233" s="1543"/>
      <c r="R233" s="1543"/>
      <c r="S233" s="1543"/>
      <c r="T233" s="1543"/>
      <c r="U233" s="1543"/>
      <c r="V233" s="1543"/>
      <c r="W233" s="1543"/>
      <c r="X233" s="1543"/>
      <c r="Y233" s="1543"/>
      <c r="Z233" s="1543"/>
      <c r="AA233" s="1543"/>
      <c r="AB233" s="1543"/>
      <c r="AC233" s="1543"/>
      <c r="AD233" s="1543"/>
      <c r="AE233" s="1543"/>
      <c r="BB233" s="205" t="s">
        <v>539</v>
      </c>
      <c r="BG233" s="241">
        <f>IF(AND(AND($M$249="nonprofit",$M$257="for profit",$M$265="nonprofit")),2,0)</f>
        <v>0</v>
      </c>
    </row>
    <row r="234" spans="1:59" ht="12.9" customHeight="1">
      <c r="D234" s="4" t="s">
        <v>581</v>
      </c>
      <c r="E234" s="4"/>
      <c r="M234" s="1543" t="s">
        <v>2624</v>
      </c>
      <c r="N234" s="1543"/>
      <c r="O234" s="1543"/>
      <c r="P234" s="1543"/>
      <c r="Q234" s="1543"/>
      <c r="R234" s="1543"/>
      <c r="S234" s="1543"/>
      <c r="T234" s="1543"/>
      <c r="V234" s="33" t="s">
        <v>86</v>
      </c>
      <c r="W234" s="1552" t="s">
        <v>2625</v>
      </c>
      <c r="X234" s="1342"/>
      <c r="Y234" s="4" t="s">
        <v>584</v>
      </c>
      <c r="AC234" s="1543">
        <v>96001</v>
      </c>
      <c r="AD234" s="1543"/>
      <c r="AE234" s="1543"/>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541" t="s">
        <v>2626</v>
      </c>
      <c r="N235" s="1543"/>
      <c r="O235" s="1543"/>
      <c r="P235" s="1543"/>
      <c r="Q235" s="1543"/>
      <c r="R235" s="1543"/>
      <c r="S235" s="1543"/>
      <c r="T235" s="1543"/>
      <c r="U235" s="1543"/>
      <c r="V235" s="1543"/>
      <c r="W235" s="1543"/>
      <c r="X235" s="1543"/>
      <c r="Y235" s="1543"/>
      <c r="Z235" s="1543"/>
      <c r="AA235" s="1543"/>
      <c r="AB235" s="1543"/>
      <c r="AC235" s="1543"/>
      <c r="AD235" s="1543"/>
      <c r="AE235" s="1543"/>
      <c r="AI235" s="4"/>
      <c r="AJ235" s="4"/>
      <c r="AK235" s="4"/>
      <c r="AL235" s="4"/>
      <c r="AM235" s="4"/>
      <c r="AN235" s="4"/>
      <c r="AO235" s="4"/>
      <c r="AP235" s="4"/>
      <c r="AQ235" s="4"/>
      <c r="AR235" s="4"/>
      <c r="AS235" s="4"/>
      <c r="AT235" s="4"/>
      <c r="BB235" s="205"/>
      <c r="BG235" s="204"/>
    </row>
    <row r="236" spans="1:59" ht="12.9" customHeight="1">
      <c r="D236" s="4" t="s">
        <v>88</v>
      </c>
      <c r="E236" s="4"/>
      <c r="F236" s="4"/>
      <c r="M236" s="1347">
        <v>5302416960</v>
      </c>
      <c r="N236" s="1347"/>
      <c r="O236" s="1347"/>
      <c r="P236" s="1347"/>
      <c r="Q236" s="1347"/>
      <c r="R236" s="1347"/>
      <c r="S236" s="4" t="s">
        <v>206</v>
      </c>
      <c r="T236" s="4"/>
      <c r="U236" s="1342"/>
      <c r="V236" s="1342"/>
      <c r="W236" s="1342"/>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 customHeight="1">
      <c r="D237" s="4" t="s">
        <v>90</v>
      </c>
      <c r="E237" s="4"/>
      <c r="F237" s="4"/>
      <c r="M237" s="1559" t="s">
        <v>2627</v>
      </c>
      <c r="N237" s="1559"/>
      <c r="O237" s="1559"/>
      <c r="P237" s="1559"/>
      <c r="Q237" s="1559"/>
      <c r="R237" s="1559"/>
      <c r="S237" s="1559"/>
      <c r="T237" s="1559"/>
      <c r="U237" s="1559"/>
      <c r="V237" s="1559"/>
      <c r="W237" s="1559"/>
      <c r="X237" s="1559"/>
      <c r="Y237" s="1559"/>
      <c r="Z237" s="1559"/>
      <c r="AA237" s="1559"/>
      <c r="AB237" s="1559"/>
      <c r="AC237" s="1559"/>
      <c r="AD237" s="1559"/>
      <c r="AE237" s="155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410" t="s">
        <v>377</v>
      </c>
      <c r="N238" s="1410"/>
      <c r="O238" s="1410"/>
      <c r="P238" s="1410"/>
      <c r="Q238" s="1410"/>
      <c r="R238" s="1410"/>
      <c r="S238" s="1410"/>
      <c r="T238" s="1410"/>
      <c r="U238" s="204" t="s">
        <v>907</v>
      </c>
      <c r="V238" s="204"/>
      <c r="W238" s="204"/>
      <c r="X238" s="204"/>
      <c r="Y238" s="204"/>
      <c r="Z238" s="204"/>
      <c r="AA238" s="1578"/>
      <c r="AB238" s="1578"/>
      <c r="AC238" s="1578"/>
      <c r="AD238" s="1578"/>
      <c r="AE238" s="1578"/>
      <c r="AF238" s="1578"/>
      <c r="AG238" s="1578"/>
      <c r="AH238" s="1578"/>
      <c r="AI238" s="1578"/>
      <c r="AJ238" s="1578"/>
      <c r="AK238" s="15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341"/>
      <c r="N239" s="1341"/>
      <c r="O239" s="1341"/>
      <c r="P239" s="1341"/>
      <c r="Q239" s="1341"/>
      <c r="R239" s="1341"/>
      <c r="S239" s="1341"/>
      <c r="T239" s="1341"/>
      <c r="U239" s="1341"/>
      <c r="V239" s="1341"/>
      <c r="W239" s="1341"/>
      <c r="X239" s="1341"/>
      <c r="Y239" s="1341"/>
      <c r="Z239" s="1341"/>
      <c r="AA239" s="1341"/>
      <c r="AB239" s="1341"/>
      <c r="AC239" s="1341"/>
      <c r="AD239" s="1341"/>
      <c r="AE239" s="134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84" t="s">
        <v>2628</v>
      </c>
      <c r="N243" s="1561"/>
      <c r="O243" s="1561"/>
      <c r="P243" s="1561"/>
      <c r="Q243" s="1561"/>
      <c r="R243" s="1561"/>
      <c r="S243" s="1561"/>
      <c r="T243" s="1561"/>
      <c r="U243" s="1561"/>
      <c r="V243" s="1561"/>
      <c r="W243" s="1561"/>
      <c r="X243" s="1561"/>
      <c r="Y243" s="1561"/>
      <c r="Z243" s="1561"/>
      <c r="AA243" s="1561"/>
      <c r="AB243" s="1561"/>
      <c r="AC243" s="1561"/>
      <c r="AD243" s="1561"/>
      <c r="AE243" s="1561"/>
      <c r="AF243" s="1561" t="s">
        <v>2733</v>
      </c>
      <c r="AG243" s="1561"/>
      <c r="AH243" s="1561"/>
      <c r="AI243" s="1561"/>
      <c r="AJ243" s="1561"/>
      <c r="AK243" s="156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43" t="s">
        <v>2623</v>
      </c>
      <c r="N244" s="1543"/>
      <c r="O244" s="1543"/>
      <c r="P244" s="1543"/>
      <c r="Q244" s="1543"/>
      <c r="R244" s="1543"/>
      <c r="S244" s="1543"/>
      <c r="T244" s="1543"/>
      <c r="U244" s="1543"/>
      <c r="V244" s="1543"/>
      <c r="W244" s="1543"/>
      <c r="X244" s="1543"/>
      <c r="Y244" s="1543"/>
      <c r="Z244" s="1543"/>
      <c r="AA244" s="1543"/>
      <c r="AB244" s="1543"/>
      <c r="AC244" s="1543"/>
      <c r="AD244" s="1543"/>
      <c r="AE244" s="1543"/>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43" t="s">
        <v>2624</v>
      </c>
      <c r="N245" s="1543"/>
      <c r="O245" s="1543"/>
      <c r="P245" s="1543"/>
      <c r="Q245" s="1543"/>
      <c r="R245" s="1543"/>
      <c r="S245" s="1543"/>
      <c r="T245" s="1543"/>
      <c r="V245" s="33" t="s">
        <v>86</v>
      </c>
      <c r="W245" s="1342"/>
      <c r="X245" s="1342"/>
      <c r="Y245" s="4" t="s">
        <v>584</v>
      </c>
      <c r="AC245" s="1543"/>
      <c r="AD245" s="1543"/>
      <c r="AE245" s="1543"/>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543" t="s">
        <v>2629</v>
      </c>
      <c r="N246" s="1543"/>
      <c r="O246" s="1543"/>
      <c r="P246" s="1543"/>
      <c r="Q246" s="1543"/>
      <c r="R246" s="1543"/>
      <c r="S246" s="1543"/>
      <c r="T246" s="1543"/>
      <c r="U246" s="1543"/>
      <c r="V246" s="1543"/>
      <c r="W246" s="1543"/>
      <c r="X246" s="1543"/>
      <c r="Y246" s="1543"/>
      <c r="Z246" s="1543"/>
      <c r="AA246" s="1543"/>
      <c r="AB246" s="1543"/>
      <c r="AC246" s="1543"/>
      <c r="AD246" s="1543"/>
      <c r="AE246" s="1543"/>
      <c r="AH246" s="1558"/>
      <c r="AI246" s="1558"/>
      <c r="AJ246" s="1558"/>
      <c r="AK246" s="1558"/>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7">
        <v>5302416960</v>
      </c>
      <c r="N247" s="1347"/>
      <c r="O247" s="1347"/>
      <c r="P247" s="1347"/>
      <c r="Q247" s="1347"/>
      <c r="R247" s="1347"/>
      <c r="S247" s="4" t="s">
        <v>206</v>
      </c>
      <c r="T247" s="4"/>
      <c r="U247" s="1342"/>
      <c r="V247" s="1342"/>
      <c r="W247" s="1342"/>
      <c r="X247" s="4" t="s">
        <v>89</v>
      </c>
      <c r="Z247" s="1347"/>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559" t="s">
        <v>2627</v>
      </c>
      <c r="N248" s="1559"/>
      <c r="O248" s="1559"/>
      <c r="P248" s="1559"/>
      <c r="Q248" s="1559"/>
      <c r="R248" s="1559"/>
      <c r="S248" s="1559"/>
      <c r="T248" s="1559"/>
      <c r="U248" s="1559"/>
      <c r="V248" s="1559"/>
      <c r="W248" s="1559"/>
      <c r="X248" s="1559"/>
      <c r="Y248" s="1559"/>
      <c r="Z248" s="1559"/>
      <c r="AA248" s="1559"/>
      <c r="AB248" s="1559"/>
      <c r="AC248" s="1559"/>
      <c r="AD248" s="1559"/>
      <c r="AE248" s="1559"/>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410" t="s">
        <v>535</v>
      </c>
      <c r="N249" s="1410"/>
      <c r="O249" s="1410"/>
      <c r="P249" s="1410"/>
      <c r="Q249" s="1410"/>
      <c r="R249" s="1410"/>
      <c r="S249" s="1410"/>
      <c r="T249" s="1410"/>
      <c r="U249" s="204" t="s">
        <v>907</v>
      </c>
      <c r="V249" s="204"/>
      <c r="W249" s="204"/>
      <c r="X249" s="204"/>
      <c r="Y249" s="204"/>
      <c r="Z249" s="204"/>
      <c r="AA249" s="1578"/>
      <c r="AB249" s="1578"/>
      <c r="AC249" s="1578"/>
      <c r="AD249" s="1578"/>
      <c r="AE249" s="1578"/>
      <c r="AF249" s="1578"/>
      <c r="AG249" s="1578"/>
      <c r="AH249" s="1578"/>
      <c r="AI249" s="1578"/>
      <c r="AJ249" s="1578"/>
      <c r="AK249" s="157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61" t="s">
        <v>2630</v>
      </c>
      <c r="N251" s="1561"/>
      <c r="O251" s="1561"/>
      <c r="P251" s="1561"/>
      <c r="Q251" s="1561"/>
      <c r="R251" s="1561"/>
      <c r="S251" s="1561"/>
      <c r="T251" s="1561"/>
      <c r="U251" s="1561"/>
      <c r="V251" s="1561"/>
      <c r="W251" s="1561"/>
      <c r="X251" s="1561"/>
      <c r="Y251" s="1561"/>
      <c r="Z251" s="1561"/>
      <c r="AA251" s="1561"/>
      <c r="AB251" s="1561"/>
      <c r="AC251" s="1561"/>
      <c r="AD251" s="1561"/>
      <c r="AE251" s="1561"/>
      <c r="AF251" s="1561" t="s">
        <v>2734</v>
      </c>
      <c r="AG251" s="1561"/>
      <c r="AH251" s="1561"/>
      <c r="AI251" s="1561"/>
      <c r="AJ251" s="1561"/>
      <c r="AK251" s="1561"/>
      <c r="AU251" s="4"/>
      <c r="AV251" s="4"/>
      <c r="AW251" s="4"/>
      <c r="AX251" s="4"/>
      <c r="AY251" s="4"/>
      <c r="BN251" s="34"/>
    </row>
    <row r="252" spans="1:67" ht="12.9" customHeight="1">
      <c r="A252" s="19"/>
      <c r="B252" s="4"/>
      <c r="C252" s="4"/>
      <c r="D252" s="4" t="s">
        <v>85</v>
      </c>
      <c r="E252" s="4"/>
      <c r="F252" s="4"/>
      <c r="G252" s="4"/>
      <c r="H252" s="4"/>
      <c r="I252" s="4"/>
      <c r="J252" s="4"/>
      <c r="K252" s="4"/>
      <c r="L252" s="4"/>
      <c r="M252" s="1543" t="s">
        <v>2631</v>
      </c>
      <c r="N252" s="1543"/>
      <c r="O252" s="1543"/>
      <c r="P252" s="1543"/>
      <c r="Q252" s="1543"/>
      <c r="R252" s="1543"/>
      <c r="S252" s="1543"/>
      <c r="T252" s="1543"/>
      <c r="U252" s="1543"/>
      <c r="V252" s="1543"/>
      <c r="W252" s="1543"/>
      <c r="X252" s="1543"/>
      <c r="Y252" s="1543"/>
      <c r="Z252" s="1543"/>
      <c r="AA252" s="1543"/>
      <c r="AB252" s="1543"/>
      <c r="AC252" s="1543"/>
      <c r="AD252" s="1543"/>
      <c r="AE252" s="1543"/>
      <c r="AF252" s="3" t="s">
        <v>1180</v>
      </c>
      <c r="AL252" s="4"/>
      <c r="AM252" s="4"/>
      <c r="AN252" s="4"/>
      <c r="AO252" s="4"/>
      <c r="AP252" s="4"/>
      <c r="AQ252" s="4"/>
      <c r="AR252" s="4"/>
      <c r="AS252" s="4"/>
      <c r="AT252" s="4"/>
      <c r="BN252" s="34"/>
    </row>
    <row r="253" spans="1:67" ht="12.9" customHeight="1">
      <c r="A253" s="19"/>
      <c r="B253" s="4"/>
      <c r="C253" s="4"/>
      <c r="D253" s="4" t="s">
        <v>581</v>
      </c>
      <c r="E253" s="4"/>
      <c r="M253" s="1543" t="s">
        <v>2632</v>
      </c>
      <c r="N253" s="1543"/>
      <c r="O253" s="1543"/>
      <c r="P253" s="1543"/>
      <c r="Q253" s="1543"/>
      <c r="R253" s="1543"/>
      <c r="S253" s="1543"/>
      <c r="T253" s="1543"/>
      <c r="V253" s="33" t="s">
        <v>86</v>
      </c>
      <c r="W253" s="1552" t="s">
        <v>2625</v>
      </c>
      <c r="X253" s="1342"/>
      <c r="Y253" s="4" t="s">
        <v>584</v>
      </c>
      <c r="AC253" s="1543">
        <v>95521</v>
      </c>
      <c r="AD253" s="1543"/>
      <c r="AE253" s="1543"/>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41" t="s">
        <v>2633</v>
      </c>
      <c r="N254" s="1543"/>
      <c r="O254" s="1543"/>
      <c r="P254" s="1543"/>
      <c r="Q254" s="1543"/>
      <c r="R254" s="1543"/>
      <c r="S254" s="1543"/>
      <c r="T254" s="1543"/>
      <c r="U254" s="1543"/>
      <c r="V254" s="1543"/>
      <c r="W254" s="1543"/>
      <c r="X254" s="1543"/>
      <c r="Y254" s="1543"/>
      <c r="Z254" s="1543"/>
      <c r="AA254" s="1543"/>
      <c r="AB254" s="1543"/>
      <c r="AC254" s="1543"/>
      <c r="AD254" s="1543"/>
      <c r="AE254" s="1543"/>
      <c r="AH254" s="1558"/>
      <c r="AI254" s="1558"/>
      <c r="AJ254" s="1558"/>
      <c r="AK254" s="1558"/>
      <c r="AL254" s="4"/>
      <c r="AM254" s="4"/>
      <c r="AN254" s="4"/>
      <c r="AO254" s="4"/>
      <c r="AP254" s="4"/>
      <c r="AQ254" s="4"/>
      <c r="AR254" s="4"/>
      <c r="AS254" s="4"/>
      <c r="AT254" s="4"/>
    </row>
    <row r="255" spans="1:67" ht="12.9" customHeight="1">
      <c r="A255" s="19"/>
      <c r="B255" s="4"/>
      <c r="C255" s="4"/>
      <c r="D255" s="4" t="s">
        <v>88</v>
      </c>
      <c r="E255" s="4"/>
      <c r="F255" s="4"/>
      <c r="M255" s="1347">
        <v>7078229000</v>
      </c>
      <c r="N255" s="1347"/>
      <c r="O255" s="1347"/>
      <c r="P255" s="1347"/>
      <c r="Q255" s="1347"/>
      <c r="R255" s="1347"/>
      <c r="S255" s="4" t="s">
        <v>206</v>
      </c>
      <c r="T255" s="4"/>
      <c r="U255" s="1342"/>
      <c r="V255" s="1342"/>
      <c r="W255" s="1342"/>
      <c r="X255" s="4" t="s">
        <v>89</v>
      </c>
      <c r="Z255" s="1347"/>
      <c r="AA255" s="1347"/>
      <c r="AB255" s="1347"/>
      <c r="AC255" s="1347"/>
      <c r="AD255" s="1347"/>
      <c r="AE255" s="1347"/>
      <c r="AU255" s="4"/>
      <c r="AV255" s="4"/>
      <c r="AW255" s="4"/>
      <c r="AX255" s="4"/>
      <c r="AY255" s="4"/>
      <c r="BN255" s="34"/>
    </row>
    <row r="256" spans="1:67" ht="12.9" customHeight="1">
      <c r="A256" s="19"/>
      <c r="B256" s="4"/>
      <c r="C256" s="4"/>
      <c r="D256" s="4" t="s">
        <v>90</v>
      </c>
      <c r="E256" s="4"/>
      <c r="F256" s="4"/>
      <c r="M256" s="1559" t="s">
        <v>2634</v>
      </c>
      <c r="N256" s="1559"/>
      <c r="O256" s="1559"/>
      <c r="P256" s="1559"/>
      <c r="Q256" s="1559"/>
      <c r="R256" s="1559"/>
      <c r="S256" s="1559"/>
      <c r="T256" s="1559"/>
      <c r="U256" s="1559"/>
      <c r="V256" s="1559"/>
      <c r="W256" s="1559"/>
      <c r="X256" s="1559"/>
      <c r="Y256" s="1559"/>
      <c r="Z256" s="1559"/>
      <c r="AA256" s="1559"/>
      <c r="AB256" s="1559"/>
      <c r="AC256" s="1559"/>
      <c r="AD256" s="1559"/>
      <c r="AE256" s="1559"/>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410" t="s">
        <v>537</v>
      </c>
      <c r="N257" s="1410"/>
      <c r="O257" s="1410"/>
      <c r="P257" s="1410"/>
      <c r="Q257" s="1410"/>
      <c r="R257" s="1410"/>
      <c r="S257" s="1410"/>
      <c r="T257" s="1410"/>
      <c r="U257" s="204" t="s">
        <v>907</v>
      </c>
      <c r="V257" s="204"/>
      <c r="W257" s="204"/>
      <c r="X257" s="204"/>
      <c r="Y257" s="204"/>
      <c r="Z257" s="204"/>
      <c r="AA257" s="1591" t="s">
        <v>2716</v>
      </c>
      <c r="AB257" s="1578"/>
      <c r="AC257" s="1578"/>
      <c r="AD257" s="1578"/>
      <c r="AE257" s="1578"/>
      <c r="AF257" s="1578"/>
      <c r="AG257" s="1578"/>
      <c r="AH257" s="1578"/>
      <c r="AI257" s="1578"/>
      <c r="AJ257" s="1578"/>
      <c r="AK257" s="157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61"/>
      <c r="N259" s="1561"/>
      <c r="O259" s="1561"/>
      <c r="P259" s="1561"/>
      <c r="Q259" s="1561"/>
      <c r="R259" s="1561"/>
      <c r="S259" s="1561"/>
      <c r="T259" s="1561"/>
      <c r="U259" s="1561"/>
      <c r="V259" s="1561"/>
      <c r="W259" s="1561"/>
      <c r="X259" s="1561"/>
      <c r="Y259" s="1561"/>
      <c r="Z259" s="1561"/>
      <c r="AA259" s="1561"/>
      <c r="AB259" s="1561"/>
      <c r="AC259" s="1561"/>
      <c r="AD259" s="1561"/>
      <c r="AE259" s="1561"/>
      <c r="AF259" s="1561" t="s">
        <v>307</v>
      </c>
      <c r="AG259" s="1561"/>
      <c r="AH259" s="1561"/>
      <c r="AI259" s="1561"/>
      <c r="AJ259" s="1561"/>
      <c r="AK259" s="156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43"/>
      <c r="N260" s="1543"/>
      <c r="O260" s="1543"/>
      <c r="P260" s="1543"/>
      <c r="Q260" s="1543"/>
      <c r="R260" s="1543"/>
      <c r="S260" s="1543"/>
      <c r="T260" s="1543"/>
      <c r="U260" s="1543"/>
      <c r="V260" s="1543"/>
      <c r="W260" s="1543"/>
      <c r="X260" s="1543"/>
      <c r="Y260" s="1543"/>
      <c r="Z260" s="1543"/>
      <c r="AA260" s="1543"/>
      <c r="AB260" s="1543"/>
      <c r="AC260" s="1543"/>
      <c r="AD260" s="1543"/>
      <c r="AE260" s="1543"/>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43"/>
      <c r="N261" s="1543"/>
      <c r="O261" s="1543"/>
      <c r="P261" s="1543"/>
      <c r="Q261" s="1543"/>
      <c r="R261" s="1543"/>
      <c r="S261" s="1543"/>
      <c r="T261" s="1543"/>
      <c r="V261" s="33" t="s">
        <v>86</v>
      </c>
      <c r="W261" s="1342"/>
      <c r="X261" s="1342"/>
      <c r="Y261" s="4" t="s">
        <v>584</v>
      </c>
      <c r="AC261" s="1543"/>
      <c r="AD261" s="1543"/>
      <c r="AE261" s="1543"/>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43"/>
      <c r="N262" s="1543"/>
      <c r="O262" s="1543"/>
      <c r="P262" s="1543"/>
      <c r="Q262" s="1543"/>
      <c r="R262" s="1543"/>
      <c r="S262" s="1543"/>
      <c r="T262" s="1543"/>
      <c r="U262" s="1543"/>
      <c r="V262" s="1543"/>
      <c r="W262" s="1543"/>
      <c r="X262" s="1543"/>
      <c r="Y262" s="1543"/>
      <c r="Z262" s="1543"/>
      <c r="AA262" s="1543"/>
      <c r="AB262" s="1543"/>
      <c r="AC262" s="1543"/>
      <c r="AD262" s="1543"/>
      <c r="AE262" s="1543"/>
      <c r="AH262" s="1558"/>
      <c r="AI262" s="1558"/>
      <c r="AJ262" s="1558"/>
      <c r="AK262" s="1558"/>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7"/>
      <c r="N263" s="1347"/>
      <c r="O263" s="1347"/>
      <c r="P263" s="1347"/>
      <c r="Q263" s="1347"/>
      <c r="R263" s="1347"/>
      <c r="S263" s="4" t="s">
        <v>206</v>
      </c>
      <c r="T263" s="4"/>
      <c r="U263" s="1342"/>
      <c r="V263" s="1342"/>
      <c r="W263" s="1342"/>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59"/>
      <c r="N264" s="1559"/>
      <c r="O264" s="1559"/>
      <c r="P264" s="1559"/>
      <c r="Q264" s="1559"/>
      <c r="R264" s="1559"/>
      <c r="S264" s="1559"/>
      <c r="T264" s="1559"/>
      <c r="U264" s="1559"/>
      <c r="V264" s="1559"/>
      <c r="W264" s="1559"/>
      <c r="X264" s="1559"/>
      <c r="Y264" s="1559"/>
      <c r="Z264" s="1559"/>
      <c r="AA264" s="1560"/>
      <c r="AB264" s="1560"/>
      <c r="AC264" s="1560"/>
      <c r="AD264" s="1560"/>
      <c r="AE264" s="1560"/>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410" t="s">
        <v>307</v>
      </c>
      <c r="N265" s="1410"/>
      <c r="O265" s="1410"/>
      <c r="P265" s="1410"/>
      <c r="Q265" s="1410"/>
      <c r="R265" s="1410"/>
      <c r="S265" s="1410"/>
      <c r="T265" s="1410"/>
      <c r="U265" s="204" t="s">
        <v>907</v>
      </c>
      <c r="V265" s="204"/>
      <c r="W265" s="204"/>
      <c r="X265" s="204"/>
      <c r="Y265" s="204"/>
      <c r="Z265" s="204"/>
      <c r="AA265" s="1592"/>
      <c r="AB265" s="1592"/>
      <c r="AC265" s="1592"/>
      <c r="AD265" s="1592"/>
      <c r="AE265" s="1592"/>
      <c r="AF265" s="1592"/>
      <c r="AG265" s="1592"/>
      <c r="AH265" s="1592"/>
      <c r="AI265" s="1592"/>
      <c r="AJ265" s="1592"/>
      <c r="AK265" s="1592"/>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85" t="str">
        <f>IFERROR(BO245,"")</f>
        <v>Joint Venture</v>
      </c>
      <c r="U267" s="1585"/>
      <c r="V267" s="1585"/>
      <c r="W267" s="1585"/>
      <c r="X267" s="1585"/>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43" t="s">
        <v>280</v>
      </c>
      <c r="E270" s="1543"/>
      <c r="F270" s="1543"/>
      <c r="G270" s="1543"/>
      <c r="H270" s="1543"/>
      <c r="J270" t="s">
        <v>279</v>
      </c>
      <c r="X270" s="1524"/>
      <c r="Y270" s="1524"/>
      <c r="Z270" s="1524"/>
      <c r="AA270" s="1524"/>
      <c r="AB270" s="1524"/>
      <c r="AC270" s="1524"/>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61" t="s">
        <v>2635</v>
      </c>
      <c r="M274" s="1561"/>
      <c r="N274" s="1561"/>
      <c r="O274" s="1561"/>
      <c r="P274" s="1561"/>
      <c r="Q274" s="1561"/>
      <c r="R274" s="1561"/>
      <c r="S274" s="1561"/>
      <c r="T274" s="1561"/>
      <c r="U274" s="1561"/>
      <c r="V274" s="1561"/>
      <c r="W274" s="1561"/>
      <c r="X274" s="1561"/>
      <c r="Y274" s="1561"/>
      <c r="Z274" s="1561"/>
      <c r="AA274" s="1561"/>
      <c r="AB274" s="1561"/>
      <c r="AC274" s="1561"/>
      <c r="AD274" s="1561"/>
      <c r="AE274" s="1561"/>
      <c r="AF274" s="1561"/>
      <c r="AG274" s="1561"/>
      <c r="AH274" s="1561"/>
      <c r="AI274" s="1561"/>
      <c r="AJ274" s="156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43" t="s">
        <v>2636</v>
      </c>
      <c r="M275" s="1543"/>
      <c r="N275" s="1543"/>
      <c r="O275" s="1543"/>
      <c r="P275" s="1543"/>
      <c r="Q275" s="1543"/>
      <c r="R275" s="1543"/>
      <c r="S275" s="1543"/>
      <c r="T275" s="1543"/>
      <c r="U275" s="1543"/>
      <c r="V275" s="1543"/>
      <c r="W275" s="1543"/>
      <c r="X275" s="1543"/>
      <c r="Y275" s="1543"/>
      <c r="Z275" s="1543"/>
      <c r="AA275" s="1543"/>
      <c r="AB275" s="1543"/>
      <c r="AC275" s="1543"/>
      <c r="AD275" s="1543"/>
      <c r="AK275" s="3"/>
      <c r="AL275" s="3"/>
      <c r="AM275" s="3"/>
      <c r="AN275" s="3"/>
      <c r="AO275" s="3"/>
      <c r="AP275" s="3"/>
      <c r="AQ275" s="3"/>
      <c r="AR275" s="3"/>
      <c r="AS275" s="3"/>
      <c r="AT275" s="3"/>
      <c r="AU275" s="3"/>
      <c r="AV275" s="3"/>
      <c r="AW275" s="3"/>
      <c r="AX275" s="3"/>
      <c r="AY275" s="3"/>
    </row>
    <row r="276" spans="1:51" ht="12.9" customHeight="1">
      <c r="D276" s="4" t="s">
        <v>581</v>
      </c>
      <c r="E276" s="4"/>
      <c r="L276" s="1541" t="s">
        <v>2637</v>
      </c>
      <c r="M276" s="1543"/>
      <c r="N276" s="1543"/>
      <c r="O276" s="1543"/>
      <c r="P276" s="1543"/>
      <c r="Q276" s="1543"/>
      <c r="R276" s="1543"/>
      <c r="S276" s="1543"/>
      <c r="U276" s="33" t="s">
        <v>86</v>
      </c>
      <c r="V276" s="1552" t="s">
        <v>2625</v>
      </c>
      <c r="W276" s="1342"/>
      <c r="X276" s="4" t="s">
        <v>584</v>
      </c>
      <c r="AB276" s="1543">
        <v>95521</v>
      </c>
      <c r="AC276" s="1543"/>
      <c r="AD276" s="1543"/>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41" t="s">
        <v>2633</v>
      </c>
      <c r="M277" s="1543"/>
      <c r="N277" s="1543"/>
      <c r="O277" s="1543"/>
      <c r="P277" s="1543"/>
      <c r="Q277" s="1543"/>
      <c r="R277" s="1543"/>
      <c r="S277" s="1543"/>
      <c r="T277" s="1543"/>
      <c r="U277" s="1543"/>
      <c r="V277" s="1543"/>
      <c r="W277" s="1543"/>
      <c r="X277" s="1543"/>
      <c r="Y277" s="1543"/>
      <c r="Z277" s="1543"/>
      <c r="AA277" s="1543"/>
      <c r="AB277" s="1543"/>
      <c r="AC277" s="1543"/>
      <c r="AD277" s="1543"/>
      <c r="AI277" s="4"/>
      <c r="AJ277" s="4"/>
      <c r="AK277" s="3"/>
      <c r="AL277" s="3"/>
      <c r="AM277" s="3"/>
      <c r="AN277" s="3"/>
      <c r="AO277" s="3"/>
      <c r="AP277" s="3"/>
      <c r="AQ277" s="3"/>
      <c r="AR277" s="3"/>
      <c r="AS277" s="3"/>
      <c r="AT277" s="3"/>
    </row>
    <row r="278" spans="1:51" ht="12.9" customHeight="1">
      <c r="D278" s="4" t="s">
        <v>88</v>
      </c>
      <c r="E278" s="4"/>
      <c r="F278" s="4"/>
      <c r="L278" s="1347">
        <v>7078229000</v>
      </c>
      <c r="M278" s="1347"/>
      <c r="N278" s="1347"/>
      <c r="O278" s="1347"/>
      <c r="P278" s="1347"/>
      <c r="Q278" s="1347"/>
      <c r="R278" s="4" t="s">
        <v>206</v>
      </c>
      <c r="S278" s="4"/>
      <c r="T278" s="1342"/>
      <c r="U278" s="1342"/>
      <c r="V278" s="1342"/>
      <c r="W278" s="4" t="s">
        <v>89</v>
      </c>
      <c r="Y278" s="1347"/>
      <c r="Z278" s="1347"/>
      <c r="AA278" s="1347"/>
      <c r="AB278" s="1347"/>
      <c r="AC278" s="1347"/>
      <c r="AD278" s="1347"/>
    </row>
    <row r="279" spans="1:51" ht="12.9" customHeight="1">
      <c r="D279" s="4" t="s">
        <v>90</v>
      </c>
      <c r="E279" s="4"/>
      <c r="F279" s="4"/>
      <c r="L279" s="1559" t="s">
        <v>2634</v>
      </c>
      <c r="M279" s="1559"/>
      <c r="N279" s="1559"/>
      <c r="O279" s="1559"/>
      <c r="P279" s="1559"/>
      <c r="Q279" s="1559"/>
      <c r="R279" s="1559"/>
      <c r="S279" s="1559"/>
      <c r="T279" s="1559"/>
      <c r="U279" s="1559"/>
      <c r="V279" s="1559"/>
      <c r="W279" s="1559"/>
      <c r="X279" s="1559"/>
      <c r="Y279" s="1559"/>
      <c r="Z279" s="1559"/>
      <c r="AA279" s="1559"/>
      <c r="AB279" s="1559"/>
      <c r="AC279" s="1559"/>
      <c r="AD279" s="1559"/>
      <c r="AF279" s="4"/>
      <c r="AG279" s="4"/>
      <c r="AH279" s="4"/>
      <c r="AI279" s="4"/>
      <c r="AJ279" s="4"/>
      <c r="AU279" s="3"/>
      <c r="AV279" s="3"/>
      <c r="AW279" s="3"/>
      <c r="AX279" s="3"/>
      <c r="AY279" s="3"/>
    </row>
    <row r="280" spans="1:51" ht="12.9" customHeight="1">
      <c r="D280" s="3" t="s">
        <v>624</v>
      </c>
      <c r="E280" s="3"/>
      <c r="F280" s="3"/>
      <c r="G280" s="3"/>
      <c r="H280" s="3"/>
      <c r="I280" s="3"/>
      <c r="L280" s="1552" t="s">
        <v>2638</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54" t="s">
        <v>542</v>
      </c>
      <c r="B282" s="1554"/>
      <c r="C282" s="1554"/>
      <c r="D282" s="1554"/>
      <c r="E282" s="1554"/>
      <c r="F282" s="1554"/>
      <c r="G282" s="1554"/>
      <c r="H282" s="1554"/>
      <c r="I282" s="1554"/>
      <c r="J282" s="1554"/>
      <c r="K282" s="1554"/>
      <c r="L282" s="1554"/>
      <c r="M282" s="1554"/>
      <c r="N282" s="1554"/>
      <c r="O282" s="1554"/>
      <c r="P282" s="1554"/>
      <c r="Q282" s="1554"/>
      <c r="R282" s="1554"/>
      <c r="S282" s="1554"/>
      <c r="T282" s="1554"/>
      <c r="U282" s="1554"/>
      <c r="V282" s="1554"/>
      <c r="W282" s="1554"/>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95"/>
      <c r="AV282" s="95"/>
      <c r="AW282" s="95"/>
      <c r="AX282" s="95"/>
      <c r="AY282" s="95"/>
    </row>
    <row r="283" spans="1:51" ht="12.9" customHeight="1">
      <c r="A283" s="1554"/>
      <c r="B283" s="1554"/>
      <c r="C283" s="1554"/>
      <c r="D283" s="1554"/>
      <c r="E283" s="1554"/>
      <c r="F283" s="1554"/>
      <c r="G283" s="1554"/>
      <c r="H283" s="1554"/>
      <c r="I283" s="1554"/>
      <c r="J283" s="1554"/>
      <c r="K283" s="1554"/>
      <c r="L283" s="1554"/>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41" t="s">
        <v>2641</v>
      </c>
      <c r="I287" s="1341"/>
      <c r="J287" s="1341"/>
      <c r="K287" s="1341"/>
      <c r="L287" s="1341"/>
      <c r="M287" s="1341"/>
      <c r="N287" s="1341"/>
      <c r="O287" s="1341"/>
      <c r="P287" s="1341"/>
      <c r="Q287" s="1341"/>
      <c r="R287" s="1341"/>
      <c r="T287" s="3" t="s">
        <v>568</v>
      </c>
      <c r="V287" s="3"/>
      <c r="W287" s="3"/>
      <c r="X287" s="3"/>
      <c r="Y287" s="3"/>
      <c r="AA287" s="1341" t="s">
        <v>2644</v>
      </c>
      <c r="AB287" s="1341"/>
      <c r="AC287" s="1341"/>
      <c r="AD287" s="1341"/>
      <c r="AE287" s="1341"/>
      <c r="AF287" s="1341"/>
      <c r="AG287" s="1341"/>
      <c r="AH287" s="1341"/>
      <c r="AI287" s="1341"/>
      <c r="AJ287" s="1341"/>
      <c r="AK287" s="1341"/>
    </row>
    <row r="288" spans="1:51" ht="12.9" customHeight="1">
      <c r="B288" s="3" t="s">
        <v>472</v>
      </c>
      <c r="C288" s="3"/>
      <c r="D288" s="3"/>
      <c r="E288" s="3"/>
      <c r="F288" s="3"/>
      <c r="H288" s="1410" t="s">
        <v>2631</v>
      </c>
      <c r="I288" s="1410"/>
      <c r="J288" s="1410"/>
      <c r="K288" s="1410"/>
      <c r="L288" s="1410"/>
      <c r="M288" s="1410"/>
      <c r="N288" s="1410"/>
      <c r="O288" s="1410"/>
      <c r="P288" s="1410"/>
      <c r="Q288" s="1410"/>
      <c r="R288" s="1410"/>
      <c r="T288" s="3" t="s">
        <v>472</v>
      </c>
      <c r="V288" s="3"/>
      <c r="W288" s="3"/>
      <c r="X288" s="3"/>
      <c r="Y288" s="3"/>
      <c r="AA288" s="1410" t="s">
        <v>2645</v>
      </c>
      <c r="AB288" s="1410"/>
      <c r="AC288" s="1410"/>
      <c r="AD288" s="1410"/>
      <c r="AE288" s="1410"/>
      <c r="AF288" s="1410"/>
      <c r="AG288" s="1410"/>
      <c r="AH288" s="1410"/>
      <c r="AI288" s="1410"/>
      <c r="AJ288" s="1410"/>
      <c r="AK288" s="1410"/>
    </row>
    <row r="289" spans="2:37" ht="12.9" customHeight="1">
      <c r="B289" s="3" t="s">
        <v>473</v>
      </c>
      <c r="C289" s="3"/>
      <c r="D289" s="3"/>
      <c r="E289" s="3"/>
      <c r="F289" s="3"/>
      <c r="H289" s="1410" t="s">
        <v>2640</v>
      </c>
      <c r="I289" s="1410"/>
      <c r="J289" s="1410"/>
      <c r="K289" s="1410"/>
      <c r="L289" s="1410"/>
      <c r="M289" s="1410"/>
      <c r="N289" s="1410"/>
      <c r="O289" s="1410"/>
      <c r="P289" s="1410"/>
      <c r="Q289" s="1410"/>
      <c r="R289" s="1410"/>
      <c r="T289" s="3" t="s">
        <v>75</v>
      </c>
      <c r="V289" s="3"/>
      <c r="W289" s="3"/>
      <c r="X289" s="3"/>
      <c r="Y289" s="3"/>
      <c r="AA289" s="1410" t="s">
        <v>2646</v>
      </c>
      <c r="AB289" s="1410"/>
      <c r="AC289" s="1410"/>
      <c r="AD289" s="1410"/>
      <c r="AE289" s="1410"/>
      <c r="AF289" s="1410"/>
      <c r="AG289" s="1410"/>
      <c r="AH289" s="1410"/>
      <c r="AI289" s="1410"/>
      <c r="AJ289" s="1410"/>
      <c r="AK289" s="1410"/>
    </row>
    <row r="290" spans="2:37" ht="12.9" customHeight="1">
      <c r="B290" s="3" t="s">
        <v>87</v>
      </c>
      <c r="C290" s="3"/>
      <c r="D290" s="3"/>
      <c r="E290" s="3"/>
      <c r="F290" s="3"/>
      <c r="H290" s="1410" t="s">
        <v>2642</v>
      </c>
      <c r="I290" s="1410"/>
      <c r="J290" s="1410"/>
      <c r="K290" s="1410"/>
      <c r="L290" s="1410"/>
      <c r="M290" s="1410"/>
      <c r="N290" s="1410"/>
      <c r="O290" s="1410"/>
      <c r="P290" s="1410"/>
      <c r="Q290" s="1410"/>
      <c r="R290" s="1410"/>
      <c r="T290" s="3" t="s">
        <v>87</v>
      </c>
      <c r="V290" s="3"/>
      <c r="W290" s="3"/>
      <c r="X290" s="3"/>
      <c r="Y290" s="3"/>
      <c r="AA290" s="1410" t="s">
        <v>2647</v>
      </c>
      <c r="AB290" s="1410"/>
      <c r="AC290" s="1410"/>
      <c r="AD290" s="1410"/>
      <c r="AE290" s="1410"/>
      <c r="AF290" s="1410"/>
      <c r="AG290" s="1410"/>
      <c r="AH290" s="1410"/>
      <c r="AI290" s="1410"/>
      <c r="AJ290" s="1410"/>
      <c r="AK290" s="1410"/>
    </row>
    <row r="291" spans="2:37" ht="12.9" customHeight="1">
      <c r="B291" s="3" t="s">
        <v>88</v>
      </c>
      <c r="C291" s="3"/>
      <c r="D291" s="3"/>
      <c r="E291" s="3"/>
      <c r="F291" s="3"/>
      <c r="G291" s="3"/>
      <c r="H291" s="1562">
        <v>7078229000</v>
      </c>
      <c r="I291" s="1562"/>
      <c r="J291" s="1562"/>
      <c r="K291" s="1562"/>
      <c r="L291" s="1562"/>
      <c r="M291" s="1562"/>
      <c r="N291" s="4" t="s">
        <v>206</v>
      </c>
      <c r="O291" s="4"/>
      <c r="P291" s="1543"/>
      <c r="Q291" s="1543"/>
      <c r="R291" s="1543"/>
      <c r="S291" s="3"/>
      <c r="T291" s="3" t="s">
        <v>88</v>
      </c>
      <c r="V291" s="3"/>
      <c r="W291" s="3"/>
      <c r="X291" s="3"/>
      <c r="Y291" s="3"/>
      <c r="AA291" s="1562" t="s">
        <v>2648</v>
      </c>
      <c r="AB291" s="1562"/>
      <c r="AC291" s="1562"/>
      <c r="AD291" s="1562"/>
      <c r="AE291" s="1562"/>
      <c r="AF291" s="1562"/>
      <c r="AG291" s="4" t="s">
        <v>206</v>
      </c>
      <c r="AH291" s="4"/>
      <c r="AI291" s="1543"/>
      <c r="AJ291" s="1543"/>
      <c r="AK291" s="1543"/>
    </row>
    <row r="292" spans="2:37" ht="12.9" customHeight="1">
      <c r="B292" s="3" t="s">
        <v>89</v>
      </c>
      <c r="C292" s="3"/>
      <c r="D292" s="3"/>
      <c r="E292" s="3"/>
      <c r="F292" s="3"/>
      <c r="G292" s="3"/>
      <c r="H292" s="1347">
        <v>7078229596</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 customHeight="1">
      <c r="B293" s="3" t="s">
        <v>76</v>
      </c>
      <c r="C293" s="3"/>
      <c r="D293" s="3"/>
      <c r="E293" s="3"/>
      <c r="F293" s="3"/>
      <c r="G293" s="3"/>
      <c r="H293" s="1410" t="s">
        <v>2643</v>
      </c>
      <c r="I293" s="1410"/>
      <c r="J293" s="1410"/>
      <c r="K293" s="1410"/>
      <c r="L293" s="1410"/>
      <c r="M293" s="1410"/>
      <c r="N293" s="1341"/>
      <c r="O293" s="1341"/>
      <c r="P293" s="1341"/>
      <c r="Q293" s="1341"/>
      <c r="R293" s="1341"/>
      <c r="S293" s="3"/>
      <c r="T293" s="3" t="s">
        <v>76</v>
      </c>
      <c r="V293" s="3"/>
      <c r="W293" s="3"/>
      <c r="X293" s="3"/>
      <c r="Y293" s="3"/>
      <c r="AA293" s="1410" t="s">
        <v>2649</v>
      </c>
      <c r="AB293" s="1410"/>
      <c r="AC293" s="1410"/>
      <c r="AD293" s="1410"/>
      <c r="AE293" s="1410"/>
      <c r="AF293" s="1410"/>
      <c r="AG293" s="1341"/>
      <c r="AH293" s="1341"/>
      <c r="AI293" s="1341"/>
      <c r="AJ293" s="1341"/>
      <c r="AK293" s="134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41" t="s">
        <v>2650</v>
      </c>
      <c r="I295" s="1341"/>
      <c r="J295" s="1341"/>
      <c r="K295" s="1341"/>
      <c r="L295" s="1341"/>
      <c r="M295" s="1341"/>
      <c r="N295" s="1341"/>
      <c r="O295" s="1341"/>
      <c r="P295" s="1341"/>
      <c r="Q295" s="1341"/>
      <c r="R295" s="1341"/>
      <c r="T295" s="3" t="s">
        <v>364</v>
      </c>
      <c r="V295" s="3"/>
      <c r="W295" s="3"/>
      <c r="X295" s="3"/>
      <c r="Y295" s="3"/>
      <c r="AA295" s="1341" t="s">
        <v>2656</v>
      </c>
      <c r="AB295" s="1341"/>
      <c r="AC295" s="1341"/>
      <c r="AD295" s="1341"/>
      <c r="AE295" s="1341"/>
      <c r="AF295" s="1341"/>
      <c r="AG295" s="1341"/>
      <c r="AH295" s="1341"/>
      <c r="AI295" s="1341"/>
      <c r="AJ295" s="1341"/>
      <c r="AK295" s="1341"/>
    </row>
    <row r="296" spans="2:37" ht="12.9" customHeight="1">
      <c r="B296" s="3" t="s">
        <v>472</v>
      </c>
      <c r="C296" s="3"/>
      <c r="D296" s="3"/>
      <c r="E296" s="3"/>
      <c r="F296" s="3"/>
      <c r="H296" s="1410" t="s">
        <v>2651</v>
      </c>
      <c r="I296" s="1410"/>
      <c r="J296" s="1410"/>
      <c r="K296" s="1410"/>
      <c r="L296" s="1410"/>
      <c r="M296" s="1410"/>
      <c r="N296" s="1410"/>
      <c r="O296" s="1410"/>
      <c r="P296" s="1410"/>
      <c r="Q296" s="1410"/>
      <c r="R296" s="1410"/>
      <c r="T296" s="3" t="s">
        <v>472</v>
      </c>
      <c r="V296" s="3"/>
      <c r="W296" s="3"/>
      <c r="X296" s="3"/>
      <c r="Y296" s="3"/>
      <c r="AA296" s="1410" t="s">
        <v>2657</v>
      </c>
      <c r="AB296" s="1410"/>
      <c r="AC296" s="1410"/>
      <c r="AD296" s="1410"/>
      <c r="AE296" s="1410"/>
      <c r="AF296" s="1410"/>
      <c r="AG296" s="1410"/>
      <c r="AH296" s="1410"/>
      <c r="AI296" s="1410"/>
      <c r="AJ296" s="1410"/>
      <c r="AK296" s="1410"/>
    </row>
    <row r="297" spans="2:37" ht="12.9" customHeight="1">
      <c r="B297" s="3" t="s">
        <v>473</v>
      </c>
      <c r="C297" s="3"/>
      <c r="D297" s="3"/>
      <c r="E297" s="3"/>
      <c r="F297" s="3"/>
      <c r="H297" s="1410" t="s">
        <v>2652</v>
      </c>
      <c r="I297" s="1410"/>
      <c r="J297" s="1410"/>
      <c r="K297" s="1410"/>
      <c r="L297" s="1410"/>
      <c r="M297" s="1410"/>
      <c r="N297" s="1410"/>
      <c r="O297" s="1410"/>
      <c r="P297" s="1410"/>
      <c r="Q297" s="1410"/>
      <c r="R297" s="1410"/>
      <c r="T297" s="3" t="s">
        <v>75</v>
      </c>
      <c r="V297" s="3"/>
      <c r="W297" s="3"/>
      <c r="X297" s="3"/>
      <c r="Y297" s="3"/>
      <c r="AA297" s="1410" t="s">
        <v>2658</v>
      </c>
      <c r="AB297" s="1410"/>
      <c r="AC297" s="1410"/>
      <c r="AD297" s="1410"/>
      <c r="AE297" s="1410"/>
      <c r="AF297" s="1410"/>
      <c r="AG297" s="1410"/>
      <c r="AH297" s="1410"/>
      <c r="AI297" s="1410"/>
      <c r="AJ297" s="1410"/>
      <c r="AK297" s="1410"/>
    </row>
    <row r="298" spans="2:37" ht="12.9" customHeight="1">
      <c r="B298" s="3" t="s">
        <v>87</v>
      </c>
      <c r="C298" s="3"/>
      <c r="D298" s="3"/>
      <c r="E298" s="3"/>
      <c r="F298" s="3"/>
      <c r="H298" s="1410" t="s">
        <v>2653</v>
      </c>
      <c r="I298" s="1410"/>
      <c r="J298" s="1410"/>
      <c r="K298" s="1410"/>
      <c r="L298" s="1410"/>
      <c r="M298" s="1410"/>
      <c r="N298" s="1410"/>
      <c r="O298" s="1410"/>
      <c r="P298" s="1410"/>
      <c r="Q298" s="1410"/>
      <c r="R298" s="1410"/>
      <c r="T298" s="3" t="s">
        <v>87</v>
      </c>
      <c r="V298" s="3"/>
      <c r="W298" s="3"/>
      <c r="X298" s="3"/>
      <c r="Y298" s="3"/>
      <c r="AA298" s="1410" t="s">
        <v>2659</v>
      </c>
      <c r="AB298" s="1410"/>
      <c r="AC298" s="1410"/>
      <c r="AD298" s="1410"/>
      <c r="AE298" s="1410"/>
      <c r="AF298" s="1410"/>
      <c r="AG298" s="1410"/>
      <c r="AH298" s="1410"/>
      <c r="AI298" s="1410"/>
      <c r="AJ298" s="1410"/>
      <c r="AK298" s="1410"/>
    </row>
    <row r="299" spans="2:37" ht="12.9" customHeight="1">
      <c r="B299" s="3" t="s">
        <v>88</v>
      </c>
      <c r="C299" s="3"/>
      <c r="D299" s="3"/>
      <c r="E299" s="3"/>
      <c r="F299" s="3"/>
      <c r="G299" s="3"/>
      <c r="H299" s="1562" t="s">
        <v>2654</v>
      </c>
      <c r="I299" s="1562"/>
      <c r="J299" s="1562"/>
      <c r="K299" s="1562"/>
      <c r="L299" s="1562"/>
      <c r="M299" s="1562"/>
      <c r="N299" s="4" t="s">
        <v>206</v>
      </c>
      <c r="O299" s="4"/>
      <c r="P299" s="1543"/>
      <c r="Q299" s="1543"/>
      <c r="R299" s="1543"/>
      <c r="S299" s="3"/>
      <c r="T299" s="3" t="s">
        <v>88</v>
      </c>
      <c r="V299" s="3"/>
      <c r="W299" s="3"/>
      <c r="X299" s="3"/>
      <c r="Y299" s="3"/>
      <c r="AA299" s="1562" t="s">
        <v>2660</v>
      </c>
      <c r="AB299" s="1562"/>
      <c r="AC299" s="1562"/>
      <c r="AD299" s="1562"/>
      <c r="AE299" s="1562"/>
      <c r="AF299" s="1562"/>
      <c r="AG299" s="4" t="s">
        <v>206</v>
      </c>
      <c r="AH299" s="4"/>
      <c r="AI299" s="1543"/>
      <c r="AJ299" s="1543"/>
      <c r="AK299" s="1543"/>
    </row>
    <row r="300" spans="2:37" ht="12.9"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t="s">
        <v>2661</v>
      </c>
      <c r="AB300" s="1347"/>
      <c r="AC300" s="1347"/>
      <c r="AD300" s="1347"/>
      <c r="AE300" s="1347"/>
      <c r="AF300" s="1347"/>
      <c r="AG300" s="4"/>
      <c r="AH300" s="4"/>
      <c r="AI300" s="35"/>
      <c r="AJ300" s="35"/>
      <c r="AK300" s="35"/>
    </row>
    <row r="301" spans="2:37" ht="12.9" customHeight="1">
      <c r="B301" s="3" t="s">
        <v>76</v>
      </c>
      <c r="C301" s="3"/>
      <c r="D301" s="3"/>
      <c r="E301" s="3"/>
      <c r="F301" s="3"/>
      <c r="G301" s="3"/>
      <c r="H301" s="1410" t="s">
        <v>2655</v>
      </c>
      <c r="I301" s="1410"/>
      <c r="J301" s="1410"/>
      <c r="K301" s="1410"/>
      <c r="L301" s="1410"/>
      <c r="M301" s="1410"/>
      <c r="N301" s="1341"/>
      <c r="O301" s="1341"/>
      <c r="P301" s="1341"/>
      <c r="Q301" s="1341"/>
      <c r="R301" s="1341"/>
      <c r="S301" s="3"/>
      <c r="T301" s="3" t="s">
        <v>76</v>
      </c>
      <c r="V301" s="3"/>
      <c r="W301" s="3"/>
      <c r="X301" s="3"/>
      <c r="Y301" s="3"/>
      <c r="AA301" s="1410" t="s">
        <v>2643</v>
      </c>
      <c r="AB301" s="1410"/>
      <c r="AC301" s="1410"/>
      <c r="AD301" s="1410"/>
      <c r="AE301" s="1410"/>
      <c r="AF301" s="1410"/>
      <c r="AG301" s="1341"/>
      <c r="AH301" s="1341"/>
      <c r="AI301" s="1341"/>
      <c r="AJ301" s="1341"/>
      <c r="AK301" s="1341"/>
    </row>
    <row r="302" spans="2:37" ht="12.9" customHeight="1"/>
    <row r="303" spans="2:37" ht="12.9" customHeight="1">
      <c r="B303" s="3" t="s">
        <v>77</v>
      </c>
      <c r="C303" s="3"/>
      <c r="D303" s="3"/>
      <c r="E303" s="3"/>
      <c r="F303" s="3"/>
      <c r="H303" s="1341" t="s">
        <v>2662</v>
      </c>
      <c r="I303" s="1341"/>
      <c r="J303" s="1341"/>
      <c r="K303" s="1341"/>
      <c r="L303" s="1341"/>
      <c r="M303" s="1341"/>
      <c r="N303" s="1341"/>
      <c r="O303" s="1341"/>
      <c r="P303" s="1341"/>
      <c r="Q303" s="1341"/>
      <c r="R303" s="1341"/>
      <c r="T303" s="4" t="s">
        <v>879</v>
      </c>
      <c r="V303" s="3"/>
      <c r="W303" s="3"/>
      <c r="X303" s="3"/>
      <c r="Y303" s="3"/>
      <c r="AA303" s="1341" t="s">
        <v>2666</v>
      </c>
      <c r="AB303" s="1341"/>
      <c r="AC303" s="1341"/>
      <c r="AD303" s="1341"/>
      <c r="AE303" s="1341"/>
      <c r="AF303" s="1341"/>
      <c r="AG303" s="1341"/>
      <c r="AH303" s="1341"/>
      <c r="AI303" s="1341"/>
      <c r="AJ303" s="1341"/>
      <c r="AK303" s="1341"/>
    </row>
    <row r="304" spans="2:37" ht="12.9" customHeight="1">
      <c r="B304" s="3" t="s">
        <v>472</v>
      </c>
      <c r="C304" s="3"/>
      <c r="D304" s="3"/>
      <c r="E304" s="3"/>
      <c r="F304" s="3"/>
      <c r="H304" s="1410" t="s">
        <v>2663</v>
      </c>
      <c r="I304" s="1410"/>
      <c r="J304" s="1410"/>
      <c r="K304" s="1410"/>
      <c r="L304" s="1410"/>
      <c r="M304" s="1410"/>
      <c r="N304" s="1410"/>
      <c r="O304" s="1410"/>
      <c r="P304" s="1410"/>
      <c r="Q304" s="1410"/>
      <c r="R304" s="1410"/>
      <c r="T304" s="3" t="s">
        <v>472</v>
      </c>
      <c r="V304" s="3"/>
      <c r="W304" s="3"/>
      <c r="X304" s="3"/>
      <c r="Y304" s="3"/>
      <c r="AA304" s="1410" t="s">
        <v>2667</v>
      </c>
      <c r="AB304" s="1410"/>
      <c r="AC304" s="1410"/>
      <c r="AD304" s="1410"/>
      <c r="AE304" s="1410"/>
      <c r="AF304" s="1410"/>
      <c r="AG304" s="1410"/>
      <c r="AH304" s="1410"/>
      <c r="AI304" s="1410"/>
      <c r="AJ304" s="1410"/>
      <c r="AK304" s="1410"/>
    </row>
    <row r="305" spans="2:37" ht="12.9" customHeight="1">
      <c r="B305" s="3" t="s">
        <v>473</v>
      </c>
      <c r="C305" s="3"/>
      <c r="D305" s="3"/>
      <c r="E305" s="3"/>
      <c r="F305" s="3"/>
      <c r="H305" s="1410" t="s">
        <v>2664</v>
      </c>
      <c r="I305" s="1410"/>
      <c r="J305" s="1410"/>
      <c r="K305" s="1410"/>
      <c r="L305" s="1410"/>
      <c r="M305" s="1410"/>
      <c r="N305" s="1410"/>
      <c r="O305" s="1410"/>
      <c r="P305" s="1410"/>
      <c r="Q305" s="1410"/>
      <c r="R305" s="1410"/>
      <c r="T305" s="3" t="s">
        <v>75</v>
      </c>
      <c r="V305" s="3"/>
      <c r="W305" s="3"/>
      <c r="X305" s="3"/>
      <c r="Y305" s="3"/>
      <c r="AA305" s="1410" t="s">
        <v>2658</v>
      </c>
      <c r="AB305" s="1410"/>
      <c r="AC305" s="1410"/>
      <c r="AD305" s="1410"/>
      <c r="AE305" s="1410"/>
      <c r="AF305" s="1410"/>
      <c r="AG305" s="1410"/>
      <c r="AH305" s="1410"/>
      <c r="AI305" s="1410"/>
      <c r="AJ305" s="1410"/>
      <c r="AK305" s="1410"/>
    </row>
    <row r="306" spans="2:37" ht="12.9" customHeight="1">
      <c r="B306" s="3" t="s">
        <v>87</v>
      </c>
      <c r="C306" s="3"/>
      <c r="D306" s="3"/>
      <c r="E306" s="3"/>
      <c r="F306" s="3"/>
      <c r="H306" s="1410" t="s">
        <v>2665</v>
      </c>
      <c r="I306" s="1410"/>
      <c r="J306" s="1410"/>
      <c r="K306" s="1410"/>
      <c r="L306" s="1410"/>
      <c r="M306" s="1410"/>
      <c r="N306" s="1410"/>
      <c r="O306" s="1410"/>
      <c r="P306" s="1410"/>
      <c r="Q306" s="1410"/>
      <c r="R306" s="1410"/>
      <c r="T306" s="3" t="s">
        <v>87</v>
      </c>
      <c r="V306" s="3"/>
      <c r="W306" s="3"/>
      <c r="X306" s="3"/>
      <c r="Y306" s="3"/>
      <c r="AA306" s="1410" t="s">
        <v>2668</v>
      </c>
      <c r="AB306" s="1410"/>
      <c r="AC306" s="1410"/>
      <c r="AD306" s="1410"/>
      <c r="AE306" s="1410"/>
      <c r="AF306" s="1410"/>
      <c r="AG306" s="1410"/>
      <c r="AH306" s="1410"/>
      <c r="AI306" s="1410"/>
      <c r="AJ306" s="1410"/>
      <c r="AK306" s="1410"/>
    </row>
    <row r="307" spans="2:37" ht="12.9" customHeight="1">
      <c r="B307" s="3" t="s">
        <v>88</v>
      </c>
      <c r="C307" s="3"/>
      <c r="D307" s="3"/>
      <c r="E307" s="3"/>
      <c r="F307" s="3"/>
      <c r="G307" s="3"/>
      <c r="H307" s="1562"/>
      <c r="I307" s="1562"/>
      <c r="J307" s="1562"/>
      <c r="K307" s="1562"/>
      <c r="L307" s="1562"/>
      <c r="M307" s="1562"/>
      <c r="N307" s="4" t="s">
        <v>206</v>
      </c>
      <c r="O307" s="4"/>
      <c r="P307" s="1543"/>
      <c r="Q307" s="1543"/>
      <c r="R307" s="1543"/>
      <c r="S307" s="3"/>
      <c r="T307" s="3" t="s">
        <v>88</v>
      </c>
      <c r="V307" s="3"/>
      <c r="W307" s="3"/>
      <c r="X307" s="3"/>
      <c r="Y307" s="3"/>
      <c r="AA307" s="1562" t="s">
        <v>2669</v>
      </c>
      <c r="AB307" s="1562"/>
      <c r="AC307" s="1562"/>
      <c r="AD307" s="1562"/>
      <c r="AE307" s="1562"/>
      <c r="AF307" s="1562"/>
      <c r="AG307" s="4" t="s">
        <v>206</v>
      </c>
      <c r="AH307" s="4"/>
      <c r="AI307" s="1543"/>
      <c r="AJ307" s="1543"/>
      <c r="AK307" s="1543"/>
    </row>
    <row r="308" spans="2:37" ht="12.9"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410"/>
      <c r="I309" s="1410"/>
      <c r="J309" s="1410"/>
      <c r="K309" s="1410"/>
      <c r="L309" s="1410"/>
      <c r="M309" s="1410"/>
      <c r="N309" s="1341"/>
      <c r="O309" s="1341"/>
      <c r="P309" s="1341"/>
      <c r="Q309" s="1341"/>
      <c r="R309" s="1341"/>
      <c r="S309" s="3"/>
      <c r="T309" s="3" t="s">
        <v>76</v>
      </c>
      <c r="V309" s="3"/>
      <c r="W309" s="3"/>
      <c r="X309" s="3"/>
      <c r="Y309" s="3"/>
      <c r="AA309" s="1410" t="s">
        <v>2670</v>
      </c>
      <c r="AB309" s="1410"/>
      <c r="AC309" s="1410"/>
      <c r="AD309" s="1410"/>
      <c r="AE309" s="1410"/>
      <c r="AF309" s="1410"/>
      <c r="AG309" s="1341"/>
      <c r="AH309" s="1341"/>
      <c r="AI309" s="1341"/>
      <c r="AJ309" s="1341"/>
      <c r="AK309" s="134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341"/>
      <c r="I311" s="1341"/>
      <c r="J311" s="1341"/>
      <c r="K311" s="1341"/>
      <c r="L311" s="1341"/>
      <c r="M311" s="1341"/>
      <c r="N311" s="1341"/>
      <c r="O311" s="1341"/>
      <c r="P311" s="1341"/>
      <c r="Q311" s="1341"/>
      <c r="R311" s="1341"/>
      <c r="S311" s="3"/>
      <c r="T311" s="3" t="s">
        <v>365</v>
      </c>
      <c r="V311" s="3"/>
      <c r="W311" s="3"/>
      <c r="X311" s="3"/>
      <c r="Y311" s="3"/>
      <c r="AA311" s="1341" t="s">
        <v>2671</v>
      </c>
      <c r="AB311" s="1341"/>
      <c r="AC311" s="1341"/>
      <c r="AD311" s="1341"/>
      <c r="AE311" s="1341"/>
      <c r="AF311" s="1341"/>
      <c r="AG311" s="1341"/>
      <c r="AH311" s="1341"/>
      <c r="AI311" s="1341"/>
      <c r="AJ311" s="1341"/>
      <c r="AK311" s="1341"/>
    </row>
    <row r="312" spans="2:37" ht="12.9" customHeight="1">
      <c r="B312" s="3" t="s">
        <v>472</v>
      </c>
      <c r="C312" s="3"/>
      <c r="D312" s="3"/>
      <c r="E312" s="3"/>
      <c r="F312" s="3"/>
      <c r="H312" s="1410"/>
      <c r="I312" s="1410"/>
      <c r="J312" s="1410"/>
      <c r="K312" s="1410"/>
      <c r="L312" s="1410"/>
      <c r="M312" s="1410"/>
      <c r="N312" s="1410"/>
      <c r="O312" s="1410"/>
      <c r="P312" s="1410"/>
      <c r="Q312" s="1410"/>
      <c r="R312" s="1410"/>
      <c r="S312" s="3"/>
      <c r="T312" s="3" t="s">
        <v>472</v>
      </c>
      <c r="V312" s="3"/>
      <c r="W312" s="3"/>
      <c r="X312" s="3"/>
      <c r="Y312" s="3"/>
      <c r="AA312" s="1410" t="s">
        <v>2672</v>
      </c>
      <c r="AB312" s="1410"/>
      <c r="AC312" s="1410"/>
      <c r="AD312" s="1410"/>
      <c r="AE312" s="1410"/>
      <c r="AF312" s="1410"/>
      <c r="AG312" s="1410"/>
      <c r="AH312" s="1410"/>
      <c r="AI312" s="1410"/>
      <c r="AJ312" s="1410"/>
      <c r="AK312" s="1410"/>
    </row>
    <row r="313" spans="2:37" ht="12.9" customHeight="1">
      <c r="B313" s="3" t="s">
        <v>473</v>
      </c>
      <c r="C313" s="3"/>
      <c r="D313" s="3"/>
      <c r="E313" s="3"/>
      <c r="F313" s="3"/>
      <c r="H313" s="1410"/>
      <c r="I313" s="1410"/>
      <c r="J313" s="1410"/>
      <c r="K313" s="1410"/>
      <c r="L313" s="1410"/>
      <c r="M313" s="1410"/>
      <c r="N313" s="1410"/>
      <c r="O313" s="1410"/>
      <c r="P313" s="1410"/>
      <c r="Q313" s="1410"/>
      <c r="R313" s="1410"/>
      <c r="S313" s="3"/>
      <c r="T313" s="3" t="s">
        <v>75</v>
      </c>
      <c r="V313" s="3"/>
      <c r="W313" s="3"/>
      <c r="X313" s="3"/>
      <c r="Y313" s="3"/>
      <c r="AA313" s="1410" t="s">
        <v>2673</v>
      </c>
      <c r="AB313" s="1410"/>
      <c r="AC313" s="1410"/>
      <c r="AD313" s="1410"/>
      <c r="AE313" s="1410"/>
      <c r="AF313" s="1410"/>
      <c r="AG313" s="1410"/>
      <c r="AH313" s="1410"/>
      <c r="AI313" s="1410"/>
      <c r="AJ313" s="1410"/>
      <c r="AK313" s="1410"/>
    </row>
    <row r="314" spans="2:37" ht="12.9" customHeight="1">
      <c r="B314" s="3" t="s">
        <v>87</v>
      </c>
      <c r="C314" s="3"/>
      <c r="D314" s="3"/>
      <c r="E314" s="3"/>
      <c r="F314" s="3"/>
      <c r="H314" s="1410"/>
      <c r="I314" s="1410"/>
      <c r="J314" s="1410"/>
      <c r="K314" s="1410"/>
      <c r="L314" s="1410"/>
      <c r="M314" s="1410"/>
      <c r="N314" s="1410"/>
      <c r="O314" s="1410"/>
      <c r="P314" s="1410"/>
      <c r="Q314" s="1410"/>
      <c r="R314" s="1410"/>
      <c r="S314" s="3"/>
      <c r="T314" s="3" t="s">
        <v>87</v>
      </c>
      <c r="V314" s="3"/>
      <c r="W314" s="3"/>
      <c r="X314" s="3"/>
      <c r="Y314" s="3"/>
      <c r="AA314" s="1410" t="s">
        <v>2674</v>
      </c>
      <c r="AB314" s="1410"/>
      <c r="AC314" s="1410"/>
      <c r="AD314" s="1410"/>
      <c r="AE314" s="1410"/>
      <c r="AF314" s="1410"/>
      <c r="AG314" s="1410"/>
      <c r="AH314" s="1410"/>
      <c r="AI314" s="1410"/>
      <c r="AJ314" s="1410"/>
      <c r="AK314" s="1410"/>
    </row>
    <row r="315" spans="2:37" ht="12.9" customHeight="1">
      <c r="B315" s="3" t="s">
        <v>88</v>
      </c>
      <c r="C315" s="3"/>
      <c r="D315" s="3"/>
      <c r="E315" s="3"/>
      <c r="F315" s="3"/>
      <c r="G315" s="3"/>
      <c r="H315" s="1562"/>
      <c r="I315" s="1562"/>
      <c r="J315" s="1562"/>
      <c r="K315" s="1562"/>
      <c r="L315" s="1562"/>
      <c r="M315" s="1562"/>
      <c r="N315" s="4" t="s">
        <v>206</v>
      </c>
      <c r="O315" s="4"/>
      <c r="P315" s="1543"/>
      <c r="Q315" s="1543"/>
      <c r="R315" s="1543"/>
      <c r="S315" s="3"/>
      <c r="T315" s="3" t="s">
        <v>88</v>
      </c>
      <c r="V315" s="3"/>
      <c r="W315" s="3"/>
      <c r="X315" s="3"/>
      <c r="Y315" s="3"/>
      <c r="AA315" s="1562" t="s">
        <v>2675</v>
      </c>
      <c r="AB315" s="1562"/>
      <c r="AC315" s="1562"/>
      <c r="AD315" s="1562"/>
      <c r="AE315" s="1562"/>
      <c r="AF315" s="1562"/>
      <c r="AG315" s="4" t="s">
        <v>206</v>
      </c>
      <c r="AH315" s="4"/>
      <c r="AI315" s="1543"/>
      <c r="AJ315" s="1543"/>
      <c r="AK315" s="1543"/>
    </row>
    <row r="316" spans="2:37" ht="12.9"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 customHeight="1">
      <c r="B317" s="3" t="s">
        <v>76</v>
      </c>
      <c r="C317" s="3"/>
      <c r="D317" s="3"/>
      <c r="E317" s="3"/>
      <c r="F317" s="3"/>
      <c r="G317" s="3"/>
      <c r="H317" s="1410"/>
      <c r="I317" s="1410"/>
      <c r="J317" s="1410"/>
      <c r="K317" s="1410"/>
      <c r="L317" s="1410"/>
      <c r="M317" s="1410"/>
      <c r="N317" s="1341"/>
      <c r="O317" s="1341"/>
      <c r="P317" s="1341"/>
      <c r="Q317" s="1341"/>
      <c r="R317" s="1341"/>
      <c r="S317" s="3"/>
      <c r="T317" s="3" t="s">
        <v>76</v>
      </c>
      <c r="V317" s="3"/>
      <c r="W317" s="3"/>
      <c r="X317" s="3"/>
      <c r="Y317" s="3"/>
      <c r="AA317" s="1410" t="s">
        <v>2676</v>
      </c>
      <c r="AB317" s="1410"/>
      <c r="AC317" s="1410"/>
      <c r="AD317" s="1410"/>
      <c r="AE317" s="1410"/>
      <c r="AF317" s="1410"/>
      <c r="AG317" s="1341"/>
      <c r="AH317" s="1341"/>
      <c r="AI317" s="1341"/>
      <c r="AJ317" s="1341"/>
      <c r="AK317" s="1341"/>
    </row>
    <row r="318" spans="2:37" ht="12.9" customHeight="1"/>
    <row r="319" spans="2:37" ht="12.9" customHeight="1">
      <c r="B319" s="4" t="s">
        <v>909</v>
      </c>
      <c r="C319" s="3"/>
      <c r="D319" s="3"/>
      <c r="E319" s="3"/>
      <c r="F319" s="3"/>
      <c r="H319" s="1341"/>
      <c r="I319" s="1341"/>
      <c r="J319" s="1341"/>
      <c r="K319" s="1341"/>
      <c r="L319" s="1341"/>
      <c r="M319" s="1341"/>
      <c r="N319" s="1341"/>
      <c r="O319" s="1341"/>
      <c r="P319" s="1341"/>
      <c r="Q319" s="1341"/>
      <c r="R319" s="1341"/>
      <c r="T319" s="3" t="s">
        <v>366</v>
      </c>
      <c r="V319" s="3"/>
      <c r="W319" s="3"/>
      <c r="X319" s="3"/>
      <c r="Y319" s="3"/>
      <c r="AA319" s="1341" t="s">
        <v>2677</v>
      </c>
      <c r="AB319" s="1341"/>
      <c r="AC319" s="1341"/>
      <c r="AD319" s="1341"/>
      <c r="AE319" s="1341"/>
      <c r="AF319" s="1341"/>
      <c r="AG319" s="1341"/>
      <c r="AH319" s="1341"/>
      <c r="AI319" s="1341"/>
      <c r="AJ319" s="1341"/>
      <c r="AK319" s="1341"/>
    </row>
    <row r="320" spans="2:37" ht="12.9" customHeight="1">
      <c r="B320" s="3" t="s">
        <v>472</v>
      </c>
      <c r="C320" s="3"/>
      <c r="D320" s="3"/>
      <c r="E320" s="3"/>
      <c r="F320" s="3"/>
      <c r="H320" s="1410"/>
      <c r="I320" s="1410"/>
      <c r="J320" s="1410"/>
      <c r="K320" s="1410"/>
      <c r="L320" s="1410"/>
      <c r="M320" s="1410"/>
      <c r="N320" s="1410"/>
      <c r="O320" s="1410"/>
      <c r="P320" s="1410"/>
      <c r="Q320" s="1410"/>
      <c r="R320" s="1410"/>
      <c r="T320" s="3" t="s">
        <v>472</v>
      </c>
      <c r="V320" s="3"/>
      <c r="W320" s="3"/>
      <c r="X320" s="3"/>
      <c r="Y320" s="3"/>
      <c r="AA320" s="1410" t="s">
        <v>2678</v>
      </c>
      <c r="AB320" s="1410"/>
      <c r="AC320" s="1410"/>
      <c r="AD320" s="1410"/>
      <c r="AE320" s="1410"/>
      <c r="AF320" s="1410"/>
      <c r="AG320" s="1410"/>
      <c r="AH320" s="1410"/>
      <c r="AI320" s="1410"/>
      <c r="AJ320" s="1410"/>
      <c r="AK320" s="1410"/>
    </row>
    <row r="321" spans="2:37" ht="12.9" customHeight="1">
      <c r="B321" s="3" t="s">
        <v>473</v>
      </c>
      <c r="C321" s="3"/>
      <c r="D321" s="3"/>
      <c r="E321" s="3"/>
      <c r="F321" s="3"/>
      <c r="H321" s="1410"/>
      <c r="I321" s="1410"/>
      <c r="J321" s="1410"/>
      <c r="K321" s="1410"/>
      <c r="L321" s="1410"/>
      <c r="M321" s="1410"/>
      <c r="N321" s="1410"/>
      <c r="O321" s="1410"/>
      <c r="P321" s="1410"/>
      <c r="Q321" s="1410"/>
      <c r="R321" s="1410"/>
      <c r="T321" s="3" t="s">
        <v>75</v>
      </c>
      <c r="V321" s="3"/>
      <c r="W321" s="3"/>
      <c r="X321" s="3"/>
      <c r="Y321" s="3"/>
      <c r="AA321" s="1410" t="s">
        <v>2679</v>
      </c>
      <c r="AB321" s="1410"/>
      <c r="AC321" s="1410"/>
      <c r="AD321" s="1410"/>
      <c r="AE321" s="1410"/>
      <c r="AF321" s="1410"/>
      <c r="AG321" s="1410"/>
      <c r="AH321" s="1410"/>
      <c r="AI321" s="1410"/>
      <c r="AJ321" s="1410"/>
      <c r="AK321" s="1410"/>
    </row>
    <row r="322" spans="2:37" ht="12.9" customHeight="1">
      <c r="B322" s="3" t="s">
        <v>87</v>
      </c>
      <c r="C322" s="3"/>
      <c r="D322" s="3"/>
      <c r="E322" s="3"/>
      <c r="F322" s="3"/>
      <c r="H322" s="1410"/>
      <c r="I322" s="1410"/>
      <c r="J322" s="1410"/>
      <c r="K322" s="1410"/>
      <c r="L322" s="1410"/>
      <c r="M322" s="1410"/>
      <c r="N322" s="1410"/>
      <c r="O322" s="1410"/>
      <c r="P322" s="1410"/>
      <c r="Q322" s="1410"/>
      <c r="R322" s="1410"/>
      <c r="T322" s="3" t="s">
        <v>87</v>
      </c>
      <c r="V322" s="3"/>
      <c r="W322" s="3"/>
      <c r="X322" s="3"/>
      <c r="Y322" s="3"/>
      <c r="AA322" s="1410" t="s">
        <v>2680</v>
      </c>
      <c r="AB322" s="1410"/>
      <c r="AC322" s="1410"/>
      <c r="AD322" s="1410"/>
      <c r="AE322" s="1410"/>
      <c r="AF322" s="1410"/>
      <c r="AG322" s="1410"/>
      <c r="AH322" s="1410"/>
      <c r="AI322" s="1410"/>
      <c r="AJ322" s="1410"/>
      <c r="AK322" s="1410"/>
    </row>
    <row r="323" spans="2:37" ht="12.9" customHeight="1">
      <c r="B323" s="3" t="s">
        <v>88</v>
      </c>
      <c r="C323" s="3"/>
      <c r="D323" s="3"/>
      <c r="E323" s="3"/>
      <c r="F323" s="3"/>
      <c r="G323" s="3"/>
      <c r="H323" s="1562"/>
      <c r="I323" s="1562"/>
      <c r="J323" s="1562"/>
      <c r="K323" s="1562"/>
      <c r="L323" s="1562"/>
      <c r="M323" s="1562"/>
      <c r="N323" s="4" t="s">
        <v>206</v>
      </c>
      <c r="O323" s="4"/>
      <c r="P323" s="1543"/>
      <c r="Q323" s="1543"/>
      <c r="R323" s="1543"/>
      <c r="S323" s="3"/>
      <c r="T323" s="3" t="s">
        <v>88</v>
      </c>
      <c r="V323" s="3"/>
      <c r="W323" s="3"/>
      <c r="X323" s="3"/>
      <c r="Y323" s="3"/>
      <c r="AA323" s="1562" t="s">
        <v>2681</v>
      </c>
      <c r="AB323" s="1562"/>
      <c r="AC323" s="1562"/>
      <c r="AD323" s="1562"/>
      <c r="AE323" s="1562"/>
      <c r="AF323" s="1562"/>
      <c r="AG323" s="4" t="s">
        <v>206</v>
      </c>
      <c r="AH323" s="4"/>
      <c r="AI323" s="1543"/>
      <c r="AJ323" s="1543"/>
      <c r="AK323" s="1543"/>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2682</v>
      </c>
      <c r="AB324" s="1347"/>
      <c r="AC324" s="1347"/>
      <c r="AD324" s="1347"/>
      <c r="AE324" s="1347"/>
      <c r="AF324" s="1347"/>
      <c r="AG324" s="4"/>
      <c r="AH324" s="4"/>
      <c r="AI324" s="35"/>
      <c r="AJ324" s="35"/>
      <c r="AK324" s="35"/>
    </row>
    <row r="325" spans="2:37" ht="12.9" customHeight="1">
      <c r="B325" s="3" t="s">
        <v>76</v>
      </c>
      <c r="C325" s="3"/>
      <c r="D325" s="3"/>
      <c r="E325" s="3"/>
      <c r="F325" s="3"/>
      <c r="G325" s="3"/>
      <c r="H325" s="1410"/>
      <c r="I325" s="1410"/>
      <c r="J325" s="1410"/>
      <c r="K325" s="1410"/>
      <c r="L325" s="1410"/>
      <c r="M325" s="1410"/>
      <c r="N325" s="1341"/>
      <c r="O325" s="1341"/>
      <c r="P325" s="1341"/>
      <c r="Q325" s="1341"/>
      <c r="R325" s="1341"/>
      <c r="S325" s="3"/>
      <c r="T325" s="3" t="s">
        <v>76</v>
      </c>
      <c r="V325" s="3"/>
      <c r="W325" s="3"/>
      <c r="X325" s="3"/>
      <c r="Y325" s="3"/>
      <c r="AA325" s="1410" t="s">
        <v>2683</v>
      </c>
      <c r="AB325" s="1410"/>
      <c r="AC325" s="1410"/>
      <c r="AD325" s="1410"/>
      <c r="AE325" s="1410"/>
      <c r="AF325" s="1410"/>
      <c r="AG325" s="1341"/>
      <c r="AH325" s="1341"/>
      <c r="AI325" s="1341"/>
      <c r="AJ325" s="1341"/>
      <c r="AK325" s="134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41"/>
      <c r="I327" s="1341"/>
      <c r="J327" s="1341"/>
      <c r="K327" s="1341"/>
      <c r="L327" s="1341"/>
      <c r="M327" s="1341"/>
      <c r="N327" s="1341"/>
      <c r="O327" s="1341"/>
      <c r="P327" s="1341"/>
      <c r="Q327" s="1341"/>
      <c r="R327" s="1341"/>
      <c r="T327" s="3" t="s">
        <v>368</v>
      </c>
      <c r="V327" s="3"/>
      <c r="W327" s="3"/>
      <c r="X327" s="3"/>
      <c r="Y327" s="3"/>
      <c r="AA327" s="1341"/>
      <c r="AB327" s="1341"/>
      <c r="AC327" s="1341"/>
      <c r="AD327" s="1341"/>
      <c r="AE327" s="1341"/>
      <c r="AF327" s="1341"/>
      <c r="AG327" s="1341"/>
      <c r="AH327" s="1341"/>
      <c r="AI327" s="1341"/>
      <c r="AJ327" s="1341"/>
      <c r="AK327" s="1341"/>
    </row>
    <row r="328" spans="2:37" ht="12.9" customHeight="1">
      <c r="B328" s="3" t="s">
        <v>472</v>
      </c>
      <c r="C328" s="3"/>
      <c r="D328" s="3"/>
      <c r="E328" s="3"/>
      <c r="F328" s="3"/>
      <c r="H328" s="1410"/>
      <c r="I328" s="1410"/>
      <c r="J328" s="1410"/>
      <c r="K328" s="1410"/>
      <c r="L328" s="1410"/>
      <c r="M328" s="1410"/>
      <c r="N328" s="1410"/>
      <c r="O328" s="1410"/>
      <c r="P328" s="1410"/>
      <c r="Q328" s="1410"/>
      <c r="R328" s="1410"/>
      <c r="T328" s="3" t="s">
        <v>472</v>
      </c>
      <c r="V328" s="3"/>
      <c r="W328" s="3"/>
      <c r="X328" s="3"/>
      <c r="Y328" s="3"/>
      <c r="AA328" s="1410"/>
      <c r="AB328" s="1410"/>
      <c r="AC328" s="1410"/>
      <c r="AD328" s="1410"/>
      <c r="AE328" s="1410"/>
      <c r="AF328" s="1410"/>
      <c r="AG328" s="1410"/>
      <c r="AH328" s="1410"/>
      <c r="AI328" s="1410"/>
      <c r="AJ328" s="1410"/>
      <c r="AK328" s="1410"/>
    </row>
    <row r="329" spans="2:37" ht="12.9" customHeight="1">
      <c r="B329" s="3" t="s">
        <v>473</v>
      </c>
      <c r="C329" s="3"/>
      <c r="D329" s="3"/>
      <c r="E329" s="3"/>
      <c r="F329" s="3"/>
      <c r="H329" s="1410"/>
      <c r="I329" s="1410"/>
      <c r="J329" s="1410"/>
      <c r="K329" s="1410"/>
      <c r="L329" s="1410"/>
      <c r="M329" s="1410"/>
      <c r="N329" s="1410"/>
      <c r="O329" s="1410"/>
      <c r="P329" s="1410"/>
      <c r="Q329" s="1410"/>
      <c r="R329" s="1410"/>
      <c r="T329" s="3" t="s">
        <v>75</v>
      </c>
      <c r="V329" s="3"/>
      <c r="W329" s="3"/>
      <c r="X329" s="3"/>
      <c r="Y329" s="3"/>
      <c r="AA329" s="1410"/>
      <c r="AB329" s="1410"/>
      <c r="AC329" s="1410"/>
      <c r="AD329" s="1410"/>
      <c r="AE329" s="1410"/>
      <c r="AF329" s="1410"/>
      <c r="AG329" s="1410"/>
      <c r="AH329" s="1410"/>
      <c r="AI329" s="1410"/>
      <c r="AJ329" s="1410"/>
      <c r="AK329" s="1410"/>
    </row>
    <row r="330" spans="2:37" ht="12.9" customHeight="1">
      <c r="B330" s="3" t="s">
        <v>87</v>
      </c>
      <c r="C330" s="3"/>
      <c r="D330" s="3"/>
      <c r="E330" s="3"/>
      <c r="F330" s="3"/>
      <c r="H330" s="1410"/>
      <c r="I330" s="1410"/>
      <c r="J330" s="1410"/>
      <c r="K330" s="1410"/>
      <c r="L330" s="1410"/>
      <c r="M330" s="1410"/>
      <c r="N330" s="1410"/>
      <c r="O330" s="1410"/>
      <c r="P330" s="1410"/>
      <c r="Q330" s="1410"/>
      <c r="R330" s="1410"/>
      <c r="T330" s="3" t="s">
        <v>87</v>
      </c>
      <c r="V330" s="3"/>
      <c r="W330" s="3"/>
      <c r="X330" s="3"/>
      <c r="Y330" s="3"/>
      <c r="AA330" s="1410"/>
      <c r="AB330" s="1410"/>
      <c r="AC330" s="1410"/>
      <c r="AD330" s="1410"/>
      <c r="AE330" s="1410"/>
      <c r="AF330" s="1410"/>
      <c r="AG330" s="1410"/>
      <c r="AH330" s="1410"/>
      <c r="AI330" s="1410"/>
      <c r="AJ330" s="1410"/>
      <c r="AK330" s="1410"/>
    </row>
    <row r="331" spans="2:37" ht="12.9" customHeight="1">
      <c r="B331" s="3" t="s">
        <v>88</v>
      </c>
      <c r="C331" s="3"/>
      <c r="D331" s="3"/>
      <c r="E331" s="3"/>
      <c r="F331" s="3"/>
      <c r="G331" s="3"/>
      <c r="H331" s="1562"/>
      <c r="I331" s="1562"/>
      <c r="J331" s="1562"/>
      <c r="K331" s="1562"/>
      <c r="L331" s="1562"/>
      <c r="M331" s="1562"/>
      <c r="N331" s="4" t="s">
        <v>206</v>
      </c>
      <c r="O331" s="4"/>
      <c r="P331" s="1543"/>
      <c r="Q331" s="1543"/>
      <c r="R331" s="1543"/>
      <c r="S331" s="3"/>
      <c r="T331" s="3" t="s">
        <v>88</v>
      </c>
      <c r="V331" s="3"/>
      <c r="W331" s="3"/>
      <c r="X331" s="3"/>
      <c r="Y331" s="3"/>
      <c r="AA331" s="1562"/>
      <c r="AB331" s="1562"/>
      <c r="AC331" s="1562"/>
      <c r="AD331" s="1562"/>
      <c r="AE331" s="1562"/>
      <c r="AF331" s="1562"/>
      <c r="AG331" s="4" t="s">
        <v>206</v>
      </c>
      <c r="AH331" s="4"/>
      <c r="AI331" s="1543"/>
      <c r="AJ331" s="1543"/>
      <c r="AK331" s="1543"/>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410"/>
      <c r="I333" s="1410"/>
      <c r="J333" s="1410"/>
      <c r="K333" s="1410"/>
      <c r="L333" s="1410"/>
      <c r="M333" s="1410"/>
      <c r="N333" s="1341"/>
      <c r="O333" s="1341"/>
      <c r="P333" s="1341"/>
      <c r="Q333" s="1341"/>
      <c r="R333" s="1341"/>
      <c r="S333" s="3"/>
      <c r="T333" s="3" t="s">
        <v>76</v>
      </c>
      <c r="V333" s="3"/>
      <c r="W333" s="3"/>
      <c r="X333" s="3"/>
      <c r="Y333" s="3"/>
      <c r="AA333" s="1410"/>
      <c r="AB333" s="1410"/>
      <c r="AC333" s="1410"/>
      <c r="AD333" s="1410"/>
      <c r="AE333" s="1410"/>
      <c r="AF333" s="1410"/>
      <c r="AG333" s="1341"/>
      <c r="AH333" s="1341"/>
      <c r="AI333" s="1341"/>
      <c r="AJ333" s="1341"/>
      <c r="AK333" s="134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41" t="s">
        <v>2684</v>
      </c>
      <c r="I335" s="1341"/>
      <c r="J335" s="1341"/>
      <c r="K335" s="1341"/>
      <c r="L335" s="1341"/>
      <c r="M335" s="1341"/>
      <c r="N335" s="1341"/>
      <c r="O335" s="1341"/>
      <c r="P335" s="1341"/>
      <c r="Q335" s="1341"/>
      <c r="R335" s="1341"/>
      <c r="T335" s="204" t="s">
        <v>887</v>
      </c>
      <c r="V335" s="3"/>
      <c r="W335" s="3"/>
      <c r="X335" s="3"/>
      <c r="Y335" s="3"/>
      <c r="AA335" s="1341" t="s">
        <v>2689</v>
      </c>
      <c r="AB335" s="1341"/>
      <c r="AC335" s="1341"/>
      <c r="AD335" s="1341"/>
      <c r="AE335" s="1341"/>
      <c r="AF335" s="1341"/>
      <c r="AG335" s="1341"/>
      <c r="AH335" s="1341"/>
      <c r="AI335" s="1341"/>
      <c r="AJ335" s="1341"/>
      <c r="AK335" s="1341"/>
    </row>
    <row r="336" spans="2:37" ht="12.9" customHeight="1">
      <c r="B336" s="3" t="s">
        <v>472</v>
      </c>
      <c r="C336" s="3"/>
      <c r="D336" s="3"/>
      <c r="E336" s="3"/>
      <c r="F336" s="3"/>
      <c r="H336" s="1410" t="s">
        <v>2685</v>
      </c>
      <c r="I336" s="1410"/>
      <c r="J336" s="1410"/>
      <c r="K336" s="1410"/>
      <c r="L336" s="1410"/>
      <c r="M336" s="1410"/>
      <c r="N336" s="1410"/>
      <c r="O336" s="1410"/>
      <c r="P336" s="1410"/>
      <c r="Q336" s="1410"/>
      <c r="R336" s="1410"/>
      <c r="T336" s="3" t="s">
        <v>472</v>
      </c>
      <c r="V336" s="3"/>
      <c r="W336" s="3"/>
      <c r="X336" s="3"/>
      <c r="Y336" s="3"/>
      <c r="AA336" s="1410" t="s">
        <v>2631</v>
      </c>
      <c r="AB336" s="1410"/>
      <c r="AC336" s="1410"/>
      <c r="AD336" s="1410"/>
      <c r="AE336" s="1410"/>
      <c r="AF336" s="1410"/>
      <c r="AG336" s="1410"/>
      <c r="AH336" s="1410"/>
      <c r="AI336" s="1410"/>
      <c r="AJ336" s="1410"/>
      <c r="AK336" s="1410"/>
    </row>
    <row r="337" spans="1:66" ht="12.9" customHeight="1">
      <c r="B337" s="3" t="s">
        <v>75</v>
      </c>
      <c r="C337" s="3"/>
      <c r="D337" s="3"/>
      <c r="E337" s="3"/>
      <c r="F337" s="3"/>
      <c r="H337" s="1410" t="s">
        <v>2686</v>
      </c>
      <c r="I337" s="1410"/>
      <c r="J337" s="1410"/>
      <c r="K337" s="1410"/>
      <c r="L337" s="1410"/>
      <c r="M337" s="1410"/>
      <c r="N337" s="1410"/>
      <c r="O337" s="1410"/>
      <c r="P337" s="1410"/>
      <c r="Q337" s="1410"/>
      <c r="R337" s="1410"/>
      <c r="T337" s="3" t="s">
        <v>75</v>
      </c>
      <c r="V337" s="3"/>
      <c r="W337" s="3"/>
      <c r="X337" s="3"/>
      <c r="Y337" s="3"/>
      <c r="AA337" s="1410" t="s">
        <v>2658</v>
      </c>
      <c r="AB337" s="1410"/>
      <c r="AC337" s="1410"/>
      <c r="AD337" s="1410"/>
      <c r="AE337" s="1410"/>
      <c r="AF337" s="1410"/>
      <c r="AG337" s="1410"/>
      <c r="AH337" s="1410"/>
      <c r="AI337" s="1410"/>
      <c r="AJ337" s="1410"/>
      <c r="AK337" s="1410"/>
    </row>
    <row r="338" spans="1:66" ht="12.9" customHeight="1">
      <c r="B338" s="3" t="s">
        <v>87</v>
      </c>
      <c r="C338" s="3"/>
      <c r="D338" s="3"/>
      <c r="E338" s="3"/>
      <c r="F338" s="3"/>
      <c r="G338" s="3"/>
      <c r="H338" s="1410" t="s">
        <v>2687</v>
      </c>
      <c r="I338" s="1410"/>
      <c r="J338" s="1410"/>
      <c r="K338" s="1410"/>
      <c r="L338" s="1410"/>
      <c r="M338" s="1410"/>
      <c r="N338" s="1410"/>
      <c r="O338" s="1410"/>
      <c r="P338" s="1410"/>
      <c r="Q338" s="1410"/>
      <c r="R338" s="1410"/>
      <c r="T338" s="3" t="s">
        <v>87</v>
      </c>
      <c r="V338" s="3"/>
      <c r="W338" s="3"/>
      <c r="X338" s="3"/>
      <c r="Y338" s="3"/>
      <c r="AA338" s="1410" t="s">
        <v>2731</v>
      </c>
      <c r="AB338" s="1410"/>
      <c r="AC338" s="1410"/>
      <c r="AD338" s="1410"/>
      <c r="AE338" s="1410"/>
      <c r="AF338" s="1410"/>
      <c r="AG338" s="1410"/>
      <c r="AH338" s="1410"/>
      <c r="AI338" s="1410"/>
      <c r="AJ338" s="1410"/>
      <c r="AK338" s="1410"/>
    </row>
    <row r="339" spans="1:66" ht="12.9" customHeight="1">
      <c r="B339" s="3" t="s">
        <v>88</v>
      </c>
      <c r="C339" s="3"/>
      <c r="D339" s="3"/>
      <c r="E339" s="3"/>
      <c r="F339" s="3"/>
      <c r="G339" s="3"/>
      <c r="H339" s="1562">
        <v>7609301333</v>
      </c>
      <c r="I339" s="1562"/>
      <c r="J339" s="1562"/>
      <c r="K339" s="1562"/>
      <c r="L339" s="1562"/>
      <c r="M339" s="1562"/>
      <c r="N339" s="4" t="s">
        <v>206</v>
      </c>
      <c r="O339" s="4"/>
      <c r="P339" s="1543"/>
      <c r="Q339" s="1543"/>
      <c r="R339" s="1543"/>
      <c r="S339" s="3"/>
      <c r="T339" s="3" t="s">
        <v>88</v>
      </c>
      <c r="V339" s="3"/>
      <c r="W339" s="3"/>
      <c r="X339" s="3"/>
      <c r="Y339" s="3"/>
      <c r="AA339" s="1562">
        <v>7078229000</v>
      </c>
      <c r="AB339" s="1562"/>
      <c r="AC339" s="1562"/>
      <c r="AD339" s="1562"/>
      <c r="AE339" s="1562"/>
      <c r="AF339" s="1562"/>
      <c r="AG339" s="4" t="s">
        <v>206</v>
      </c>
      <c r="AH339" s="4"/>
      <c r="AI339" s="1543"/>
      <c r="AJ339" s="1543"/>
      <c r="AK339" s="1543"/>
    </row>
    <row r="340" spans="1:66" ht="12.9" customHeight="1">
      <c r="B340" s="3" t="s">
        <v>89</v>
      </c>
      <c r="C340" s="3"/>
      <c r="D340" s="3"/>
      <c r="E340" s="3"/>
      <c r="F340" s="3"/>
      <c r="G340" s="3"/>
      <c r="H340" s="1347">
        <v>7606833390</v>
      </c>
      <c r="I340" s="1347"/>
      <c r="J340" s="1347"/>
      <c r="K340" s="1347"/>
      <c r="L340" s="1347"/>
      <c r="M340" s="1347"/>
      <c r="N340" s="4"/>
      <c r="O340" s="4"/>
      <c r="P340" s="35"/>
      <c r="Q340" s="35"/>
      <c r="R340" s="35"/>
      <c r="S340" s="3"/>
      <c r="T340" s="3" t="s">
        <v>89</v>
      </c>
      <c r="V340" s="3"/>
      <c r="W340" s="3"/>
      <c r="X340" s="3"/>
      <c r="Y340" s="3"/>
      <c r="AA340" s="1347">
        <v>7078229596</v>
      </c>
      <c r="AB340" s="1347"/>
      <c r="AC340" s="1347"/>
      <c r="AD340" s="1347"/>
      <c r="AE340" s="1347"/>
      <c r="AF340" s="1347"/>
      <c r="AG340" s="4"/>
      <c r="AH340" s="4"/>
      <c r="AI340" s="35"/>
      <c r="AJ340" s="35"/>
      <c r="AK340" s="35"/>
    </row>
    <row r="341" spans="1:66" ht="12.9" customHeight="1">
      <c r="B341" s="3" t="s">
        <v>76</v>
      </c>
      <c r="C341" s="3"/>
      <c r="D341" s="3"/>
      <c r="E341" s="3"/>
      <c r="F341" s="3"/>
      <c r="G341" s="3"/>
      <c r="H341" s="1410" t="s">
        <v>2688</v>
      </c>
      <c r="I341" s="1410"/>
      <c r="J341" s="1410"/>
      <c r="K341" s="1410"/>
      <c r="L341" s="1410"/>
      <c r="M341" s="1410"/>
      <c r="N341" s="1341"/>
      <c r="O341" s="1341"/>
      <c r="P341" s="1341"/>
      <c r="Q341" s="1341"/>
      <c r="R341" s="1341"/>
      <c r="S341" s="3"/>
      <c r="T341" s="3" t="s">
        <v>76</v>
      </c>
      <c r="V341" s="3"/>
      <c r="W341" s="3"/>
      <c r="X341" s="3"/>
      <c r="Y341" s="3"/>
      <c r="AA341" s="1410" t="s">
        <v>2735</v>
      </c>
      <c r="AB341" s="1410"/>
      <c r="AC341" s="1410"/>
      <c r="AD341" s="1410"/>
      <c r="AE341" s="1410"/>
      <c r="AF341" s="1410"/>
      <c r="AG341" s="1341"/>
      <c r="AH341" s="1341"/>
      <c r="AI341" s="1341"/>
      <c r="AJ341" s="1341"/>
      <c r="AK341" s="134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341"/>
      <c r="Q343" s="1341"/>
      <c r="R343" s="1341"/>
      <c r="S343" s="1341"/>
      <c r="T343" s="1341"/>
      <c r="U343" s="1341"/>
      <c r="V343" s="1341"/>
      <c r="W343" s="1341"/>
      <c r="X343" s="1341"/>
      <c r="Y343" s="1341"/>
      <c r="Z343" s="1341"/>
      <c r="AA343" s="1341"/>
      <c r="AB343" s="1341"/>
      <c r="AC343" s="1341"/>
      <c r="AD343" s="1341"/>
      <c r="AE343" s="1341"/>
      <c r="BN343" t="s">
        <v>670</v>
      </c>
    </row>
    <row r="344" spans="1:66" ht="12.9" customHeight="1">
      <c r="B344" s="4"/>
      <c r="C344" s="4"/>
      <c r="D344" s="4"/>
      <c r="E344" s="4"/>
      <c r="F344" s="4"/>
      <c r="I344" s="4" t="s">
        <v>472</v>
      </c>
      <c r="P344" s="1410"/>
      <c r="Q344" s="1410"/>
      <c r="R344" s="1410"/>
      <c r="S344" s="1410"/>
      <c r="T344" s="1410"/>
      <c r="U344" s="1410"/>
      <c r="V344" s="1410"/>
      <c r="W344" s="1410"/>
      <c r="X344" s="1410"/>
      <c r="Y344" s="1410"/>
      <c r="Z344" s="1410"/>
      <c r="AA344" s="1410"/>
      <c r="AB344" s="1410"/>
      <c r="AC344" s="1410"/>
      <c r="AD344" s="1410"/>
      <c r="AE344" s="1410"/>
      <c r="BN344" t="s">
        <v>546</v>
      </c>
    </row>
    <row r="345" spans="1:66" ht="12.9" customHeight="1">
      <c r="B345" s="4"/>
      <c r="C345" s="4"/>
      <c r="D345" s="4"/>
      <c r="E345" s="4"/>
      <c r="F345" s="4"/>
      <c r="I345" s="4" t="s">
        <v>75</v>
      </c>
      <c r="P345" s="1410"/>
      <c r="Q345" s="1410"/>
      <c r="R345" s="1410"/>
      <c r="S345" s="1410"/>
      <c r="T345" s="1410"/>
      <c r="U345" s="1410"/>
      <c r="V345" s="1410"/>
      <c r="W345" s="1410"/>
      <c r="X345" s="1410"/>
      <c r="Y345" s="1410"/>
      <c r="Z345" s="1410"/>
      <c r="AA345" s="1410"/>
      <c r="AB345" s="1410"/>
      <c r="AC345" s="1410"/>
      <c r="AD345" s="1410"/>
      <c r="AE345" s="1410"/>
    </row>
    <row r="346" spans="1:66" ht="12.9" customHeight="1">
      <c r="B346" s="4"/>
      <c r="C346" s="4"/>
      <c r="D346" s="4"/>
      <c r="E346" s="4"/>
      <c r="F346" s="4"/>
      <c r="G346" s="4"/>
      <c r="I346" s="4" t="s">
        <v>87</v>
      </c>
      <c r="P346" s="1410"/>
      <c r="Q346" s="1410"/>
      <c r="R346" s="1410"/>
      <c r="S346" s="1410"/>
      <c r="T346" s="1410"/>
      <c r="U346" s="1410"/>
      <c r="V346" s="1410"/>
      <c r="W346" s="1410"/>
      <c r="X346" s="1410"/>
      <c r="Y346" s="1410"/>
      <c r="Z346" s="1410"/>
      <c r="AA346" s="1410"/>
      <c r="AB346" s="1410"/>
      <c r="AC346" s="1410"/>
      <c r="AD346" s="1410"/>
      <c r="AE346" s="1410"/>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342"/>
      <c r="AD347" s="1342"/>
      <c r="AE347" s="1342"/>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41"/>
      <c r="Q349" s="1341"/>
      <c r="R349" s="1341"/>
      <c r="S349" s="1341"/>
      <c r="T349" s="1341"/>
      <c r="U349" s="1341"/>
      <c r="V349" s="1341"/>
      <c r="W349" s="1341"/>
      <c r="X349" s="1341"/>
      <c r="Y349" s="1341"/>
      <c r="Z349" s="1341"/>
      <c r="AA349" s="1341"/>
      <c r="AB349" s="1341"/>
      <c r="AC349" s="1341"/>
      <c r="AD349" s="1341"/>
      <c r="AE349" s="1341"/>
    </row>
    <row r="350" spans="1:66" ht="12.9" customHeight="1">
      <c r="T350" s="8"/>
      <c r="U350" s="8"/>
      <c r="V350" s="8"/>
      <c r="W350" s="8"/>
      <c r="X350" s="8"/>
      <c r="Y350" s="8"/>
      <c r="Z350" s="8"/>
      <c r="AU350" s="95"/>
      <c r="AV350" s="95"/>
      <c r="AW350" s="95"/>
      <c r="AX350" s="95"/>
      <c r="AY350" s="95"/>
    </row>
    <row r="351" spans="1:66" ht="12.9" customHeight="1">
      <c r="A351" s="1554" t="s">
        <v>543</v>
      </c>
      <c r="B351" s="1554"/>
      <c r="C351" s="1554"/>
      <c r="D351" s="1554"/>
      <c r="E351" s="1554"/>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554"/>
      <c r="AM351" s="1554"/>
      <c r="AN351" s="1554"/>
      <c r="AO351" s="1554"/>
      <c r="AP351" s="1554"/>
      <c r="AQ351" s="1554"/>
      <c r="AR351" s="1554"/>
      <c r="AS351" s="1554"/>
      <c r="AT351" s="1554"/>
      <c r="AU351" s="95"/>
      <c r="AV351" s="95"/>
      <c r="AW351" s="95"/>
      <c r="AX351" s="95"/>
      <c r="AY351" s="95"/>
    </row>
    <row r="352" spans="1:66" ht="12.9" customHeight="1">
      <c r="A352" s="1554"/>
      <c r="B352" s="1554"/>
      <c r="C352" s="1554"/>
      <c r="D352" s="1554"/>
      <c r="E352" s="1554"/>
      <c r="F352" s="1554"/>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554"/>
      <c r="AM352" s="1554"/>
      <c r="AN352" s="1554"/>
      <c r="AO352" s="1554"/>
      <c r="AP352" s="1554"/>
      <c r="AQ352" s="1554"/>
      <c r="AR352" s="1554"/>
      <c r="AS352" s="1554"/>
      <c r="AT352" s="155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337" t="s">
        <v>546</v>
      </c>
      <c r="N355" s="1337"/>
      <c r="P355" t="s">
        <v>1651</v>
      </c>
      <c r="AJ355" s="1337" t="s">
        <v>670</v>
      </c>
      <c r="AK355" s="1337"/>
    </row>
    <row r="356" spans="1:46" ht="12.9" customHeight="1">
      <c r="D356" s="3" t="s">
        <v>1640</v>
      </c>
      <c r="M356" s="1337" t="s">
        <v>592</v>
      </c>
      <c r="N356" s="1337"/>
      <c r="P356" s="3" t="s">
        <v>1720</v>
      </c>
      <c r="AJ356" s="1421"/>
      <c r="AK356" s="1421"/>
    </row>
    <row r="357" spans="1:46" ht="12.9" customHeight="1">
      <c r="D357" s="3" t="s">
        <v>705</v>
      </c>
      <c r="M357" s="1337" t="s">
        <v>592</v>
      </c>
      <c r="N357" s="1337"/>
      <c r="P357" t="s">
        <v>1650</v>
      </c>
      <c r="AJ357" s="1337" t="s">
        <v>670</v>
      </c>
      <c r="AK357" s="1337"/>
    </row>
    <row r="358" spans="1:46" ht="12.9" customHeight="1">
      <c r="D358" s="3" t="s">
        <v>706</v>
      </c>
      <c r="M358" s="1337" t="s">
        <v>592</v>
      </c>
      <c r="N358" s="1337"/>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7" t="s">
        <v>592</v>
      </c>
      <c r="O363" s="1337"/>
      <c r="P363" s="40"/>
      <c r="Q363" s="40"/>
      <c r="R363" s="40"/>
      <c r="S363" s="40"/>
      <c r="T363" s="40"/>
      <c r="U363" s="40"/>
      <c r="V363" s="40"/>
      <c r="W363" s="40"/>
      <c r="X363" s="40"/>
      <c r="Y363" s="40"/>
      <c r="Z363" s="40"/>
      <c r="AC363" s="40"/>
      <c r="AD363" s="40"/>
      <c r="AE363" s="40"/>
    </row>
    <row r="364" spans="1:46" ht="12.9" customHeight="1">
      <c r="E364" t="s">
        <v>370</v>
      </c>
      <c r="Y364" s="1337" t="s">
        <v>592</v>
      </c>
      <c r="Z364" s="1337"/>
    </row>
    <row r="365" spans="1:46" ht="12.9" customHeight="1">
      <c r="D365" s="4" t="s">
        <v>979</v>
      </c>
      <c r="Q365" s="1341"/>
      <c r="R365" s="1341"/>
      <c r="S365" s="1341"/>
      <c r="T365" s="1341"/>
      <c r="U365" s="1341"/>
      <c r="V365" s="1341"/>
      <c r="W365" s="1341"/>
      <c r="X365" s="1341"/>
      <c r="Y365" s="1341"/>
      <c r="Z365" s="1341"/>
      <c r="AA365" s="1341"/>
      <c r="AB365" s="1341"/>
      <c r="AC365" s="1341"/>
      <c r="AD365" s="1341"/>
      <c r="AE365" s="1341"/>
      <c r="AF365" s="1341"/>
      <c r="AG365" s="1341"/>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7" t="s">
        <v>592</v>
      </c>
      <c r="K367" s="1337"/>
      <c r="L367" s="40"/>
      <c r="M367" s="40"/>
      <c r="N367" s="40"/>
      <c r="O367" s="40"/>
      <c r="P367" s="40"/>
      <c r="Q367" s="40"/>
      <c r="R367" s="40"/>
      <c r="S367" s="40"/>
      <c r="T367" s="40"/>
      <c r="U367" s="40"/>
      <c r="V367" s="40"/>
      <c r="W367" s="40"/>
      <c r="X367" s="40"/>
      <c r="Y367" s="40"/>
      <c r="Z367" s="40"/>
      <c r="AC367" s="40"/>
      <c r="AD367" s="40"/>
      <c r="AE367" s="40"/>
    </row>
    <row r="368" spans="1:46" ht="12.9"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 customHeight="1">
      <c r="E370" s="4" t="s">
        <v>449</v>
      </c>
      <c r="F370" s="4"/>
      <c r="G370" s="4"/>
      <c r="H370" s="4"/>
      <c r="I370" s="4"/>
      <c r="J370" s="4"/>
      <c r="K370" s="4"/>
      <c r="L370" s="4"/>
      <c r="N370" s="1429">
        <v>0</v>
      </c>
      <c r="O370" s="1429"/>
      <c r="P370" s="1429"/>
      <c r="Q370" s="1429"/>
      <c r="R370" s="4"/>
      <c r="U370" s="4" t="s">
        <v>450</v>
      </c>
      <c r="V370" s="4"/>
      <c r="W370" s="4"/>
      <c r="X370" s="4"/>
      <c r="Y370" s="4"/>
      <c r="Z370" s="4"/>
      <c r="AA370" s="4"/>
      <c r="AB370" s="4"/>
      <c r="AC370" s="1429"/>
      <c r="AD370" s="1429"/>
      <c r="AE370" s="1429"/>
      <c r="AF370" s="1429"/>
    </row>
    <row r="371" spans="1:34" ht="12.9" customHeight="1">
      <c r="E371" s="4" t="s">
        <v>451</v>
      </c>
      <c r="F371" s="4"/>
      <c r="G371" s="4"/>
      <c r="H371" s="4"/>
      <c r="I371" s="4"/>
      <c r="J371" s="4"/>
      <c r="K371" s="4"/>
      <c r="L371" s="4"/>
      <c r="N371" s="1429"/>
      <c r="O371" s="1429"/>
      <c r="P371" s="1429"/>
      <c r="Q371" s="1429"/>
      <c r="R371" s="4"/>
      <c r="U371" s="4" t="s">
        <v>0</v>
      </c>
      <c r="V371" s="4"/>
      <c r="W371" s="4"/>
      <c r="X371" s="4"/>
      <c r="Y371" s="4"/>
      <c r="Z371" s="4"/>
      <c r="AA371" s="4"/>
      <c r="AB371" s="4"/>
      <c r="AC371" s="1429"/>
      <c r="AD371" s="1429"/>
      <c r="AE371" s="1429"/>
      <c r="AF371" s="1429"/>
    </row>
    <row r="372" spans="1:34" ht="12.9" customHeight="1">
      <c r="E372" s="4" t="s">
        <v>1</v>
      </c>
      <c r="F372" s="4"/>
      <c r="G372" s="4"/>
      <c r="H372" s="4"/>
      <c r="I372" s="4"/>
      <c r="J372" s="4"/>
      <c r="K372" s="4"/>
      <c r="L372" s="4"/>
      <c r="N372" s="1429"/>
      <c r="O372" s="1429"/>
      <c r="P372" s="1429"/>
      <c r="Q372" s="1429"/>
      <c r="R372" s="4"/>
      <c r="V372" s="4"/>
      <c r="W372" s="4"/>
      <c r="X372" s="4"/>
      <c r="Y372" s="4"/>
      <c r="Z372" s="4"/>
      <c r="AA372" s="4"/>
      <c r="AB372" s="4"/>
    </row>
    <row r="373" spans="1:34" ht="12.9" customHeight="1">
      <c r="E373" s="4" t="s">
        <v>2</v>
      </c>
      <c r="F373" s="4"/>
      <c r="G373" s="4"/>
      <c r="H373" s="4"/>
      <c r="I373" s="4"/>
      <c r="J373" s="4"/>
      <c r="K373" s="4"/>
      <c r="L373" s="4"/>
      <c r="N373" s="1546"/>
      <c r="O373" s="1546"/>
      <c r="P373" s="1546"/>
      <c r="Q373" s="1546"/>
      <c r="R373" s="1546"/>
      <c r="S373" s="1546"/>
      <c r="T373" s="1546"/>
      <c r="U373" s="1546"/>
      <c r="V373" s="1546"/>
      <c r="W373" s="1546"/>
      <c r="X373" s="1546"/>
      <c r="Y373" s="1546"/>
      <c r="Z373" s="1546"/>
      <c r="AA373" s="1546"/>
      <c r="AB373" s="1546"/>
      <c r="AC373" s="1546"/>
      <c r="AD373" s="1546"/>
      <c r="AE373" s="1546"/>
      <c r="AF373" s="1546"/>
    </row>
    <row r="374" spans="1:34" ht="12.9" customHeight="1">
      <c r="E374" s="4"/>
      <c r="F374" s="4"/>
      <c r="G374" s="4"/>
      <c r="H374" s="4"/>
      <c r="I374" s="4"/>
      <c r="J374" s="4"/>
      <c r="K374" s="4"/>
      <c r="L374" s="4"/>
      <c r="N374" s="1547"/>
      <c r="O374" s="1547"/>
      <c r="P374" s="1547"/>
      <c r="Q374" s="1547"/>
      <c r="R374" s="1547"/>
      <c r="S374" s="1547"/>
      <c r="T374" s="1547"/>
      <c r="U374" s="1547"/>
      <c r="V374" s="1547"/>
      <c r="W374" s="1547"/>
      <c r="X374" s="1547"/>
      <c r="Y374" s="1547"/>
      <c r="Z374" s="1547"/>
      <c r="AA374" s="1547"/>
      <c r="AB374" s="1547"/>
      <c r="AC374" s="1547"/>
      <c r="AD374" s="1547"/>
      <c r="AE374" s="1547"/>
      <c r="AF374" s="1547"/>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73"/>
      <c r="T377" s="1473"/>
      <c r="U377" s="1" t="s">
        <v>306</v>
      </c>
      <c r="V377" s="1473"/>
      <c r="W377" s="1473"/>
      <c r="Y377" t="s">
        <v>2080</v>
      </c>
      <c r="AC377" s="27" t="s">
        <v>305</v>
      </c>
      <c r="AD377" s="1473"/>
      <c r="AE377" s="1473"/>
      <c r="AF377" s="1" t="s">
        <v>306</v>
      </c>
      <c r="AG377" s="1473"/>
      <c r="AH377" s="1473"/>
    </row>
    <row r="378" spans="1:34" ht="12.9" customHeight="1">
      <c r="E378" s="4" t="s">
        <v>988</v>
      </c>
      <c r="F378" s="4"/>
      <c r="G378" s="4"/>
      <c r="H378" s="4"/>
      <c r="I378" s="4"/>
      <c r="J378" s="4"/>
      <c r="K378" s="4"/>
      <c r="L378" s="4"/>
      <c r="N378" s="1473"/>
      <c r="O378" s="1473"/>
      <c r="P378" s="1473"/>
    </row>
    <row r="379" spans="1:34" ht="12.9" customHeight="1">
      <c r="E379" s="204" t="s">
        <v>2086</v>
      </c>
      <c r="F379" s="4"/>
      <c r="G379" s="4"/>
      <c r="H379" s="4"/>
      <c r="I379" s="4"/>
      <c r="J379" s="4"/>
      <c r="K379" s="4"/>
      <c r="L379" s="4"/>
      <c r="AG379" s="1476" t="s">
        <v>592</v>
      </c>
      <c r="AH379" s="1476"/>
    </row>
    <row r="380" spans="1:34" ht="12.9" customHeight="1">
      <c r="E380" s="4"/>
      <c r="F380" s="4"/>
      <c r="G380" s="4" t="s">
        <v>2087</v>
      </c>
      <c r="H380" s="4"/>
      <c r="I380" s="4"/>
      <c r="J380" s="4"/>
      <c r="K380" s="4"/>
      <c r="L380" s="4"/>
      <c r="AG380" s="1476" t="s">
        <v>592</v>
      </c>
      <c r="AH380" s="1476"/>
    </row>
    <row r="381" spans="1:34" ht="12.9" customHeight="1">
      <c r="E381" s="4"/>
      <c r="F381" s="4"/>
      <c r="G381" s="320" t="s">
        <v>989</v>
      </c>
      <c r="H381" s="4"/>
      <c r="I381" s="4"/>
      <c r="J381" s="4"/>
      <c r="K381" s="4"/>
      <c r="L381" s="4"/>
      <c r="V381" s="1337" t="s">
        <v>592</v>
      </c>
      <c r="W381" s="1337"/>
      <c r="Y381" s="22" t="s">
        <v>981</v>
      </c>
    </row>
    <row r="382" spans="1:34" ht="12.9" customHeight="1">
      <c r="E382" s="4" t="s">
        <v>982</v>
      </c>
      <c r="F382" s="4"/>
      <c r="G382" s="4"/>
      <c r="H382" s="4"/>
      <c r="I382" s="4"/>
      <c r="J382" s="4"/>
      <c r="K382" s="4"/>
      <c r="L382" s="4"/>
      <c r="V382" s="1337" t="s">
        <v>592</v>
      </c>
      <c r="W382" s="1337"/>
      <c r="Y382" s="4" t="s">
        <v>983</v>
      </c>
    </row>
    <row r="383" spans="1:34" ht="12.9" customHeight="1"/>
    <row r="384" spans="1:34" ht="12.9" customHeight="1">
      <c r="A384" s="2" t="s">
        <v>78</v>
      </c>
      <c r="B384" s="2"/>
    </row>
    <row r="385" spans="4:36" ht="12.9" customHeight="1">
      <c r="D385" t="s">
        <v>428</v>
      </c>
      <c r="J385" s="1341" t="s">
        <v>2690</v>
      </c>
      <c r="K385" s="1341"/>
      <c r="L385" s="1341"/>
      <c r="M385" s="1341"/>
      <c r="N385" s="1341"/>
      <c r="O385" s="1341"/>
      <c r="P385" s="1341"/>
      <c r="Q385" s="1341"/>
      <c r="R385" s="1341"/>
      <c r="S385" s="1341"/>
      <c r="T385" s="1341"/>
      <c r="U385" s="1341"/>
      <c r="V385" s="8" t="s">
        <v>83</v>
      </c>
      <c r="W385" s="8"/>
      <c r="X385" s="8"/>
      <c r="Y385" s="8"/>
      <c r="Z385" s="8"/>
      <c r="AA385" s="8"/>
      <c r="AB385" s="8"/>
      <c r="AC385" s="1341"/>
      <c r="AD385" s="1341"/>
      <c r="AE385" s="1341"/>
      <c r="AF385" s="1341"/>
      <c r="AG385" s="1341"/>
      <c r="AH385" s="1341"/>
      <c r="AI385" s="1341"/>
      <c r="AJ385" s="1341"/>
    </row>
    <row r="386" spans="4:36" ht="12.9" customHeight="1">
      <c r="D386" s="3" t="s">
        <v>1183</v>
      </c>
      <c r="J386" s="1410" t="s">
        <v>2616</v>
      </c>
      <c r="K386" s="1410"/>
      <c r="L386" s="1410"/>
      <c r="M386" s="1410"/>
      <c r="N386" s="1410"/>
      <c r="O386" s="1410"/>
      <c r="P386" s="1410"/>
      <c r="Q386" s="1410"/>
      <c r="R386" s="1410"/>
      <c r="S386" s="1410"/>
      <c r="T386" s="1410"/>
      <c r="U386" s="1410"/>
      <c r="V386" s="3" t="s">
        <v>1183</v>
      </c>
      <c r="W386" s="8"/>
      <c r="X386" s="8"/>
      <c r="Y386" s="8"/>
      <c r="Z386" s="8"/>
      <c r="AA386" s="8"/>
      <c r="AB386" s="8"/>
      <c r="AC386" s="1341"/>
      <c r="AD386" s="1341"/>
      <c r="AE386" s="1341"/>
      <c r="AF386" s="1341"/>
      <c r="AG386" s="1341"/>
      <c r="AH386" s="1341"/>
      <c r="AI386" s="1341"/>
      <c r="AJ386" s="1341"/>
    </row>
    <row r="387" spans="4:36" ht="12.9" customHeight="1">
      <c r="D387" s="3" t="s">
        <v>442</v>
      </c>
      <c r="J387" s="1410" t="s">
        <v>441</v>
      </c>
      <c r="K387" s="1410"/>
      <c r="L387" s="1410"/>
      <c r="M387" s="1410"/>
      <c r="N387" s="1410"/>
      <c r="O387" s="1410"/>
      <c r="P387" s="1410"/>
      <c r="Q387" s="1410"/>
      <c r="R387" s="1410"/>
      <c r="S387" s="1410"/>
      <c r="T387" s="1410"/>
      <c r="U387" s="1410"/>
      <c r="V387" s="3" t="s">
        <v>442</v>
      </c>
      <c r="W387" s="8"/>
      <c r="X387" s="8"/>
      <c r="Y387" s="8"/>
      <c r="Z387" s="8"/>
      <c r="AA387" s="8"/>
      <c r="AB387" s="8"/>
      <c r="AC387" s="1341"/>
      <c r="AD387" s="1341"/>
      <c r="AE387" s="1341"/>
      <c r="AF387" s="1341"/>
      <c r="AG387" s="1341"/>
      <c r="AH387" s="1341"/>
      <c r="AI387" s="1341"/>
      <c r="AJ387" s="1341"/>
    </row>
    <row r="388" spans="4:36" ht="12.9" customHeight="1">
      <c r="D388" t="s">
        <v>1179</v>
      </c>
      <c r="J388" s="1458"/>
      <c r="K388" s="1458"/>
      <c r="L388" s="1458"/>
      <c r="M388" s="1458"/>
      <c r="N388" s="1458"/>
      <c r="O388" s="1458"/>
      <c r="P388" s="1458"/>
      <c r="Q388" s="1458"/>
      <c r="R388" s="1458"/>
      <c r="S388" s="1458"/>
      <c r="T388" s="1458"/>
      <c r="U388" s="1458"/>
      <c r="V388" s="1341"/>
      <c r="W388" s="1341"/>
      <c r="X388" s="1341"/>
      <c r="Y388" s="1341"/>
      <c r="Z388" s="1341"/>
      <c r="AA388" s="1341"/>
      <c r="AB388" s="1341"/>
      <c r="AC388" s="1341"/>
      <c r="AD388" s="1341"/>
      <c r="AE388" s="1341"/>
      <c r="AF388" s="1341"/>
      <c r="AG388" s="1341"/>
      <c r="AH388" s="1341"/>
      <c r="AI388" s="1341"/>
      <c r="AJ388" s="1341"/>
    </row>
    <row r="389" spans="4:36" ht="12.9" customHeight="1">
      <c r="D389" t="s">
        <v>4</v>
      </c>
      <c r="Q389" s="1610">
        <v>45733</v>
      </c>
      <c r="R389" s="1610"/>
      <c r="S389" s="1610"/>
      <c r="T389" s="1610"/>
      <c r="U389" s="1610"/>
      <c r="V389" t="s">
        <v>309</v>
      </c>
      <c r="AI389" s="1337" t="s">
        <v>670</v>
      </c>
      <c r="AJ389" s="1337"/>
    </row>
    <row r="390" spans="4:36" ht="12.9" customHeight="1">
      <c r="D390" t="s">
        <v>5</v>
      </c>
      <c r="Q390" s="1539">
        <v>46387</v>
      </c>
      <c r="R390" s="1540"/>
      <c r="S390" s="1540"/>
      <c r="T390" s="1540"/>
      <c r="U390" s="1540"/>
      <c r="W390" s="21" t="s">
        <v>74</v>
      </c>
      <c r="AG390" s="1478"/>
      <c r="AH390" s="1478"/>
      <c r="AI390" s="1478"/>
      <c r="AJ390" s="1478"/>
    </row>
    <row r="391" spans="4:36" ht="12.9" customHeight="1">
      <c r="D391" t="s">
        <v>427</v>
      </c>
      <c r="Q391" s="1479">
        <v>2100000</v>
      </c>
      <c r="R391" s="1479"/>
      <c r="S391" s="1479"/>
      <c r="T391" s="1479"/>
      <c r="U391" s="1479"/>
      <c r="V391" s="3" t="s">
        <v>1182</v>
      </c>
      <c r="AG391" s="1537"/>
      <c r="AH391" s="1537"/>
      <c r="AI391" s="1537"/>
      <c r="AJ391" s="1537"/>
    </row>
    <row r="392" spans="4:36" ht="12.9" customHeight="1">
      <c r="D392" t="s">
        <v>88</v>
      </c>
      <c r="I392" s="1562"/>
      <c r="J392" s="1562"/>
      <c r="K392" s="1562"/>
      <c r="L392" s="1562"/>
      <c r="M392" s="1562"/>
      <c r="N392" s="1562"/>
      <c r="Q392" s="4" t="s">
        <v>206</v>
      </c>
      <c r="S392" s="1477"/>
      <c r="T392" s="1477"/>
      <c r="U392" s="1477"/>
      <c r="V392" t="s">
        <v>73</v>
      </c>
      <c r="AI392" s="1337" t="s">
        <v>670</v>
      </c>
      <c r="AJ392" s="1337"/>
    </row>
    <row r="393" spans="4:36" ht="12.9" customHeight="1">
      <c r="D393" t="s">
        <v>310</v>
      </c>
      <c r="Q393" s="1545"/>
      <c r="R393" s="1545"/>
      <c r="S393" s="1545"/>
      <c r="T393" s="1545"/>
      <c r="U393" s="1545"/>
      <c r="V393" t="s">
        <v>311</v>
      </c>
      <c r="AG393" s="1478"/>
      <c r="AH393" s="1478"/>
      <c r="AI393" s="1478"/>
      <c r="AJ393" s="1478"/>
    </row>
    <row r="394" spans="4:36" ht="12.9" customHeight="1">
      <c r="D394" t="s">
        <v>312</v>
      </c>
      <c r="Q394" s="1596"/>
      <c r="R394" s="1596"/>
      <c r="S394" s="1596"/>
      <c r="T394" s="1596"/>
      <c r="U394" s="1596"/>
      <c r="V394" t="s">
        <v>1164</v>
      </c>
      <c r="AG394" s="1478"/>
      <c r="AH394" s="1478"/>
      <c r="AI394" s="1478"/>
      <c r="AJ394" s="1478"/>
    </row>
    <row r="395" spans="4:36" ht="12.9" customHeight="1">
      <c r="D395" t="s">
        <v>1163</v>
      </c>
      <c r="AG395" s="1478"/>
      <c r="AH395" s="1478"/>
      <c r="AI395" s="1478"/>
      <c r="AJ395" s="1478"/>
    </row>
    <row r="396" spans="4:36" ht="12.9" customHeight="1">
      <c r="AG396" s="456"/>
      <c r="AH396" s="456"/>
      <c r="AI396" s="456"/>
      <c r="AJ396" s="456"/>
    </row>
    <row r="397" spans="4:36" ht="12.9" customHeight="1">
      <c r="D397" s="3" t="s">
        <v>2143</v>
      </c>
      <c r="AG397" s="456"/>
      <c r="AH397" s="456"/>
      <c r="AI397" s="1337" t="s">
        <v>670</v>
      </c>
      <c r="AJ397" s="1337"/>
    </row>
    <row r="398" spans="4:36" ht="12.9" customHeight="1">
      <c r="D398" s="3" t="s">
        <v>1668</v>
      </c>
      <c r="T398" s="1465"/>
      <c r="U398" s="1465"/>
      <c r="V398" s="1465"/>
      <c r="W398" s="1465"/>
      <c r="X398" s="1465"/>
      <c r="Y398" s="1465"/>
      <c r="Z398" s="1465"/>
      <c r="AA398" s="1465"/>
      <c r="AB398" s="1465"/>
      <c r="AC398" s="1465"/>
      <c r="AD398" s="1465"/>
      <c r="AE398" s="1465"/>
      <c r="AF398" s="1465"/>
      <c r="AG398" s="1465"/>
      <c r="AH398" s="1465"/>
      <c r="AI398" s="1465"/>
      <c r="AJ398" s="1465"/>
    </row>
    <row r="399" spans="4:36" ht="12.9" customHeight="1">
      <c r="D399" s="3" t="s">
        <v>1667</v>
      </c>
      <c r="T399" s="1465"/>
      <c r="U399" s="1465"/>
      <c r="V399" s="1465"/>
      <c r="W399" s="1465"/>
      <c r="X399" s="1465"/>
      <c r="Y399" s="1465"/>
      <c r="Z399" s="1465"/>
      <c r="AA399" s="1465"/>
      <c r="AB399" s="1465"/>
      <c r="AC399" s="1465"/>
      <c r="AD399" s="1465"/>
      <c r="AE399" s="1465"/>
      <c r="AF399" s="1465"/>
      <c r="AG399" s="1465"/>
      <c r="AH399" s="1465"/>
      <c r="AI399" s="1465"/>
      <c r="AJ399" s="1465"/>
    </row>
    <row r="400" spans="4:36" ht="12.9" customHeight="1">
      <c r="AG400" s="456"/>
      <c r="AH400" s="456"/>
      <c r="AI400" s="456"/>
      <c r="AJ400" s="456"/>
    </row>
    <row r="401" spans="1:36" ht="12.9" customHeight="1">
      <c r="D401" s="3" t="s">
        <v>1661</v>
      </c>
      <c r="S401" s="1465" t="s">
        <v>670</v>
      </c>
      <c r="T401" s="1465"/>
      <c r="U401" s="1465"/>
      <c r="V401" t="s">
        <v>1662</v>
      </c>
      <c r="AG401" s="1542"/>
      <c r="AH401" s="1542"/>
      <c r="AI401" s="1542"/>
      <c r="AJ401" s="1542"/>
    </row>
    <row r="402" spans="1:36" ht="12.9" customHeight="1">
      <c r="D402" s="3" t="s">
        <v>1659</v>
      </c>
      <c r="S402" s="1465" t="s">
        <v>592</v>
      </c>
      <c r="T402" s="1465"/>
      <c r="U402" s="1465"/>
      <c r="V402" t="s">
        <v>1664</v>
      </c>
      <c r="AE402" s="1535"/>
      <c r="AF402" s="1535"/>
      <c r="AG402" s="1535"/>
      <c r="AH402" s="1535"/>
      <c r="AI402" s="1535"/>
      <c r="AJ402" s="1535"/>
    </row>
    <row r="403" spans="1:36" ht="12.9" customHeight="1">
      <c r="D403" s="3" t="s">
        <v>1660</v>
      </c>
      <c r="K403" s="1538"/>
      <c r="L403" s="1538"/>
      <c r="M403" s="1538"/>
      <c r="N403" s="1538"/>
      <c r="O403" s="1538"/>
      <c r="P403" s="1538"/>
      <c r="Q403" s="1538"/>
      <c r="R403" s="1538"/>
      <c r="S403" s="1538"/>
      <c r="T403" s="1538"/>
      <c r="U403" s="1538"/>
      <c r="V403" s="1538"/>
      <c r="W403" s="1538"/>
      <c r="X403" s="1538"/>
      <c r="Y403" s="1538"/>
      <c r="Z403" s="1538"/>
      <c r="AA403" s="1538"/>
      <c r="AB403" s="1538"/>
      <c r="AC403" s="1538"/>
      <c r="AD403" s="1538"/>
      <c r="AE403" s="1538"/>
      <c r="AF403" s="1538"/>
      <c r="AG403" s="1538"/>
      <c r="AH403" s="1538"/>
      <c r="AI403" s="1538"/>
      <c r="AJ403" s="1538"/>
    </row>
    <row r="404" spans="1:36" ht="12.9" customHeight="1">
      <c r="D404" s="3" t="s">
        <v>1663</v>
      </c>
      <c r="K404" s="1538"/>
      <c r="L404" s="1538"/>
      <c r="M404" s="1538"/>
      <c r="N404" s="1538"/>
      <c r="O404" s="1538"/>
      <c r="P404" s="1538"/>
      <c r="Q404" s="1538"/>
      <c r="R404" s="1538"/>
      <c r="S404" s="1538"/>
      <c r="T404" s="1538"/>
      <c r="U404" s="1538"/>
      <c r="V404" s="1538"/>
      <c r="W404" s="1538"/>
      <c r="X404" s="1538"/>
      <c r="Y404" s="1538"/>
      <c r="Z404" s="1538"/>
      <c r="AA404" s="1538"/>
      <c r="AB404" s="1538"/>
      <c r="AC404" s="1538"/>
      <c r="AD404" s="1538"/>
      <c r="AE404" s="1538"/>
      <c r="AF404" s="1538"/>
      <c r="AG404" s="1538"/>
      <c r="AH404" s="1538"/>
      <c r="AI404" s="1538"/>
      <c r="AJ404" s="1538"/>
    </row>
    <row r="405" spans="1:36" ht="12.9" customHeight="1">
      <c r="D405" s="3" t="s">
        <v>1666</v>
      </c>
      <c r="E405" s="477"/>
      <c r="F405" s="477"/>
      <c r="G405" s="477"/>
      <c r="H405" s="477"/>
      <c r="I405" s="477"/>
      <c r="J405" s="477"/>
      <c r="K405" s="477"/>
      <c r="L405" s="477"/>
      <c r="M405" s="477"/>
      <c r="N405" s="477"/>
      <c r="O405" s="477"/>
      <c r="P405" s="477"/>
      <c r="Q405" s="477"/>
      <c r="R405" s="477"/>
      <c r="S405" s="1475" t="s">
        <v>1185</v>
      </c>
      <c r="T405" s="1475"/>
      <c r="U405" s="1475"/>
      <c r="V405" s="1475"/>
      <c r="W405" s="1475"/>
      <c r="X405" s="1475"/>
      <c r="Y405" s="1475"/>
      <c r="Z405" s="1475"/>
      <c r="AA405" s="1475"/>
      <c r="AB405" s="1475"/>
      <c r="AC405" s="1475"/>
      <c r="AD405" s="1475"/>
      <c r="AE405" s="1475"/>
      <c r="AF405" s="1475"/>
      <c r="AG405" s="1475"/>
      <c r="AH405" s="1475"/>
      <c r="AI405" s="1475"/>
      <c r="AJ405" s="1475"/>
    </row>
    <row r="406" spans="1:36" ht="12.9"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541" t="s">
        <v>2691</v>
      </c>
      <c r="J410" s="1541"/>
      <c r="K410" s="1541"/>
      <c r="L410" s="1541"/>
      <c r="M410" s="1541"/>
      <c r="N410" s="1541"/>
      <c r="O410" s="1541"/>
      <c r="P410" s="1541"/>
      <c r="Q410" s="1541"/>
      <c r="R410" s="1541"/>
      <c r="S410" s="1541"/>
      <c r="T410" s="1541"/>
      <c r="U410" s="1541"/>
      <c r="V410" s="1541"/>
      <c r="W410" s="1541"/>
      <c r="X410" s="1541"/>
      <c r="Y410" s="1541"/>
      <c r="Z410" s="1541"/>
      <c r="AA410" s="1541"/>
      <c r="AB410" s="1541"/>
      <c r="AC410" s="1541"/>
      <c r="AD410" s="1541"/>
      <c r="AE410" s="1541"/>
    </row>
    <row r="411" spans="1:36" ht="12.9" customHeight="1">
      <c r="E411" t="s">
        <v>106</v>
      </c>
      <c r="R411" s="1337" t="s">
        <v>546</v>
      </c>
      <c r="S411" s="1337"/>
      <c r="AC411" s="27" t="s">
        <v>571</v>
      </c>
      <c r="AD411" s="1429">
        <v>4</v>
      </c>
      <c r="AE411" s="1429"/>
    </row>
    <row r="412" spans="1:36" ht="12.9" customHeight="1">
      <c r="E412" t="s">
        <v>107</v>
      </c>
      <c r="R412" s="1337" t="s">
        <v>592</v>
      </c>
      <c r="S412" s="1337"/>
      <c r="AC412" s="27" t="s">
        <v>571</v>
      </c>
      <c r="AD412" s="1429"/>
      <c r="AE412" s="1429"/>
    </row>
    <row r="413" spans="1:36" ht="12.9" customHeight="1">
      <c r="E413" t="s">
        <v>108</v>
      </c>
      <c r="S413" s="1337" t="s">
        <v>592</v>
      </c>
      <c r="T413" s="1337"/>
    </row>
    <row r="414" spans="1:36" ht="12.9" customHeight="1">
      <c r="E414" t="s">
        <v>170</v>
      </c>
      <c r="H414" s="1597" t="s">
        <v>2692</v>
      </c>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2.9" customHeight="1">
      <c r="H415" s="1598"/>
      <c r="I415" s="1598"/>
      <c r="J415" s="1598"/>
      <c r="K415" s="1598"/>
      <c r="L415" s="1598"/>
      <c r="M415" s="1598"/>
      <c r="N415" s="1598"/>
      <c r="O415" s="1598"/>
      <c r="P415" s="1598"/>
      <c r="Q415" s="1598"/>
      <c r="R415" s="1598"/>
      <c r="S415" s="1598"/>
      <c r="T415" s="1598"/>
      <c r="U415" s="1598"/>
      <c r="V415" s="1598"/>
      <c r="W415" s="1598"/>
      <c r="X415" s="1598"/>
      <c r="Y415" s="1598"/>
      <c r="Z415" s="1598"/>
      <c r="AA415" s="1598"/>
      <c r="AB415" s="1598"/>
      <c r="AC415" s="1598"/>
      <c r="AD415" s="1598"/>
      <c r="AE415" s="1598"/>
    </row>
    <row r="416" spans="1:36" ht="12.9" customHeight="1"/>
    <row r="417" spans="1:39" ht="12.9" customHeight="1">
      <c r="A417" s="2" t="s">
        <v>591</v>
      </c>
      <c r="B417" s="2"/>
      <c r="C417" s="2"/>
      <c r="D417" s="2" t="s">
        <v>114</v>
      </c>
      <c r="AF417" s="2" t="s">
        <v>958</v>
      </c>
    </row>
    <row r="418" spans="1:39" ht="12.9" customHeight="1">
      <c r="E418" s="1473"/>
      <c r="F418" s="1473"/>
      <c r="G418" s="1473"/>
      <c r="H418" s="13" t="s">
        <v>115</v>
      </c>
      <c r="I418" s="1473"/>
      <c r="J418" s="1473"/>
      <c r="K418" s="1473"/>
      <c r="L418" t="s">
        <v>116</v>
      </c>
      <c r="N418" s="27" t="s">
        <v>576</v>
      </c>
      <c r="P418" s="1599">
        <v>0.61</v>
      </c>
      <c r="Q418" s="1599"/>
      <c r="R418" s="1599"/>
      <c r="S418" t="s">
        <v>117</v>
      </c>
      <c r="W418" s="1474">
        <f>IF(E418&gt;0,(E418*I418),(P418*43560))</f>
        <v>26571.599999999999</v>
      </c>
      <c r="X418" s="1474"/>
      <c r="Y418" s="1474"/>
      <c r="Z418" t="s">
        <v>118</v>
      </c>
      <c r="AF418" s="1536">
        <f>IFERROR(IF(P418&gt;0,(AG437/P418),(AG437/(W418/43560))),0)</f>
        <v>75.409836065573771</v>
      </c>
      <c r="AG418" s="1536"/>
      <c r="AH418" s="1536"/>
      <c r="AM418" s="3"/>
    </row>
    <row r="419" spans="1:39" ht="12.9" customHeight="1">
      <c r="E419" t="s">
        <v>51</v>
      </c>
    </row>
    <row r="420" spans="1:39" ht="12.9" customHeight="1">
      <c r="E420" s="1522"/>
      <c r="F420" s="1522"/>
      <c r="G420" s="1522"/>
      <c r="H420" s="1522"/>
      <c r="I420" s="1522"/>
      <c r="J420" s="1522"/>
      <c r="K420" s="1522"/>
      <c r="L420" s="1522"/>
      <c r="M420" s="1522"/>
      <c r="N420" s="1522"/>
      <c r="O420" s="1522"/>
      <c r="P420" s="1522"/>
      <c r="Q420" s="1522"/>
      <c r="R420" s="1522"/>
      <c r="S420" s="1522"/>
      <c r="T420" s="1522"/>
      <c r="U420" s="1522"/>
      <c r="V420" s="1522"/>
      <c r="W420" s="1522"/>
      <c r="X420" s="1522"/>
      <c r="Y420" s="1522"/>
      <c r="Z420" s="1522"/>
      <c r="AA420" s="1522"/>
      <c r="AB420" s="1522"/>
      <c r="AC420" s="1522"/>
      <c r="AD420" s="1522"/>
      <c r="AE420" s="1522"/>
      <c r="AF420" s="1522"/>
      <c r="AG420" s="1522"/>
      <c r="AH420" s="1522"/>
      <c r="AI420" s="1522"/>
      <c r="AJ420" s="1522"/>
    </row>
    <row r="421" spans="1:39" ht="12.9" customHeight="1">
      <c r="E421" s="118" t="s">
        <v>1737</v>
      </c>
      <c r="F421" s="1013"/>
      <c r="G421" s="1013"/>
      <c r="H421" s="1013"/>
      <c r="I421" s="1523">
        <v>0.61</v>
      </c>
      <c r="J421" s="1523"/>
      <c r="K421" s="1523"/>
      <c r="L421" s="1013"/>
      <c r="M421" s="118"/>
      <c r="N421" s="1013"/>
      <c r="O421" s="1013"/>
      <c r="P421" s="1851">
        <f>(DU755+DU778+DU800)/I421</f>
        <v>136.0655737704918</v>
      </c>
      <c r="Q421" s="1851"/>
      <c r="R421" s="185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337">
        <v>1</v>
      </c>
      <c r="Q424" s="1337"/>
      <c r="S424" t="s">
        <v>189</v>
      </c>
      <c r="AE424" s="1337">
        <v>1</v>
      </c>
      <c r="AF424" s="1337"/>
    </row>
    <row r="425" spans="1:39" ht="12.9" customHeight="1">
      <c r="E425" t="s">
        <v>190</v>
      </c>
      <c r="P425" s="1337">
        <v>0</v>
      </c>
      <c r="Q425" s="1337"/>
      <c r="S425" t="s">
        <v>131</v>
      </c>
      <c r="AE425" s="1337" t="s">
        <v>592</v>
      </c>
      <c r="AF425" s="1337"/>
    </row>
    <row r="426" spans="1:39" ht="12.9" customHeight="1">
      <c r="F426" s="28" t="s">
        <v>132</v>
      </c>
    </row>
    <row r="427" spans="1:39" ht="12.9" customHeight="1">
      <c r="F427" s="1548"/>
      <c r="G427" s="1548"/>
      <c r="H427" s="1548"/>
      <c r="I427" s="1548"/>
      <c r="J427" s="1548"/>
      <c r="K427" s="1548"/>
      <c r="L427" s="1548"/>
      <c r="M427" s="1548"/>
      <c r="N427" s="1548"/>
      <c r="O427" s="1548"/>
      <c r="P427" s="1548"/>
      <c r="Q427" s="1548"/>
      <c r="R427" s="1548"/>
      <c r="S427" s="1548"/>
      <c r="T427" s="1548"/>
      <c r="U427" s="1548"/>
      <c r="V427" s="1548"/>
      <c r="W427" s="1548"/>
      <c r="X427" s="1548"/>
      <c r="Y427" s="1548"/>
      <c r="Z427" s="1548"/>
      <c r="AA427" s="1548"/>
      <c r="AB427" s="1548"/>
      <c r="AC427" s="1548"/>
      <c r="AD427" s="1548"/>
      <c r="AE427" s="1548"/>
      <c r="AF427" s="1548"/>
      <c r="AG427" s="1548"/>
      <c r="AH427" s="1548"/>
    </row>
    <row r="428" spans="1:39" ht="12.9" customHeight="1">
      <c r="F428" s="1549"/>
      <c r="G428" s="1549"/>
      <c r="H428" s="1549"/>
      <c r="I428" s="1549"/>
      <c r="J428" s="1549"/>
      <c r="K428" s="1549"/>
      <c r="L428" s="1549"/>
      <c r="M428" s="1549"/>
      <c r="N428" s="1549"/>
      <c r="O428" s="1549"/>
      <c r="P428" s="1549"/>
      <c r="Q428" s="1549"/>
      <c r="R428" s="1549"/>
      <c r="S428" s="1549"/>
      <c r="T428" s="1549"/>
      <c r="U428" s="1549"/>
      <c r="V428" s="1549"/>
      <c r="W428" s="1549"/>
      <c r="X428" s="1549"/>
      <c r="Y428" s="1549"/>
      <c r="Z428" s="1549"/>
      <c r="AA428" s="1549"/>
      <c r="AB428" s="1549"/>
      <c r="AC428" s="1549"/>
      <c r="AD428" s="1549"/>
      <c r="AE428" s="1549"/>
      <c r="AF428" s="1549"/>
      <c r="AG428" s="1549"/>
      <c r="AH428" s="1549"/>
    </row>
    <row r="429" spans="1:39" ht="12.9" customHeight="1">
      <c r="E429" t="s">
        <v>609</v>
      </c>
      <c r="P429" s="1"/>
      <c r="Q429" s="1337" t="s">
        <v>670</v>
      </c>
      <c r="R429" s="1337"/>
    </row>
    <row r="430" spans="1:39" ht="12.9" customHeight="1">
      <c r="F430" t="s">
        <v>610</v>
      </c>
      <c r="P430" s="1"/>
      <c r="Q430" s="1"/>
      <c r="AF430" s="1337" t="s">
        <v>592</v>
      </c>
      <c r="AG430" s="1496"/>
    </row>
    <row r="431" spans="1:39" ht="12.9" customHeight="1"/>
    <row r="432" spans="1:39" ht="12.9" customHeight="1">
      <c r="A432" s="2"/>
      <c r="B432" s="2"/>
      <c r="C432" s="2"/>
      <c r="E432" s="4" t="s">
        <v>308</v>
      </c>
      <c r="Z432" s="1337" t="s">
        <v>670</v>
      </c>
      <c r="AA432" s="1337"/>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37" t="s">
        <v>592</v>
      </c>
      <c r="AA434" s="1337"/>
    </row>
    <row r="435" spans="1:55" ht="12.9" customHeight="1"/>
    <row r="436" spans="1:55" ht="12.9" customHeight="1">
      <c r="A436" s="2" t="s">
        <v>468</v>
      </c>
      <c r="B436" s="2"/>
      <c r="C436" s="2"/>
      <c r="D436" s="2" t="s">
        <v>765</v>
      </c>
      <c r="AF436" s="48"/>
    </row>
    <row r="437" spans="1:55" ht="12.9" customHeight="1">
      <c r="D437" s="1493" t="s">
        <v>43</v>
      </c>
      <c r="E437" s="1494"/>
      <c r="F437" s="1494"/>
      <c r="G437" s="1494"/>
      <c r="H437" s="1494"/>
      <c r="I437" s="1494"/>
      <c r="J437" s="1494"/>
      <c r="K437" s="1494"/>
      <c r="L437" s="1494"/>
      <c r="M437" s="1494"/>
      <c r="N437" s="1494"/>
      <c r="O437" s="1494"/>
      <c r="P437" s="1494"/>
      <c r="Q437" s="1494"/>
      <c r="R437" s="1494"/>
      <c r="S437" s="1494"/>
      <c r="T437" s="1494"/>
      <c r="U437" s="1494"/>
      <c r="V437" s="1494"/>
      <c r="W437" s="1494"/>
      <c r="X437" s="1494"/>
      <c r="Y437" s="1494"/>
      <c r="Z437" s="1494"/>
      <c r="AA437" s="1494"/>
      <c r="AB437" s="1494"/>
      <c r="AC437" s="1494"/>
      <c r="AD437" s="1494"/>
      <c r="AE437" s="1494"/>
      <c r="AF437" s="1495"/>
      <c r="AG437" s="1424">
        <v>46</v>
      </c>
      <c r="AH437" s="1424"/>
      <c r="AI437" s="1424"/>
      <c r="AJ437" s="1424"/>
    </row>
    <row r="438" spans="1:55" ht="12.9" customHeight="1">
      <c r="D438" s="1452" t="s">
        <v>1223</v>
      </c>
      <c r="E438" s="1453"/>
      <c r="F438" s="1453"/>
      <c r="G438" s="1453"/>
      <c r="H438" s="1453"/>
      <c r="I438" s="1453"/>
      <c r="J438" s="1453"/>
      <c r="K438" s="1453"/>
      <c r="L438" s="1453"/>
      <c r="M438" s="1453"/>
      <c r="N438" s="1453"/>
      <c r="O438" s="1453"/>
      <c r="P438" s="1453"/>
      <c r="Q438" s="1453"/>
      <c r="R438" s="1453"/>
      <c r="S438" s="1453"/>
      <c r="T438" s="1453"/>
      <c r="U438" s="1453"/>
      <c r="V438" s="1453"/>
      <c r="W438" s="1453"/>
      <c r="X438" s="1453"/>
      <c r="Y438" s="1453"/>
      <c r="Z438" s="1453"/>
      <c r="AA438" s="1453"/>
      <c r="AB438" s="1453"/>
      <c r="AC438" s="1453"/>
      <c r="AD438" s="1453"/>
      <c r="AE438" s="1453"/>
      <c r="AF438" s="1454"/>
      <c r="AG438" s="1462">
        <v>0</v>
      </c>
      <c r="AH438" s="1463"/>
      <c r="AI438" s="1463"/>
      <c r="AJ438" s="1463"/>
    </row>
    <row r="439" spans="1:55" ht="12.9" customHeight="1">
      <c r="D439" s="1452" t="s">
        <v>1032</v>
      </c>
      <c r="E439" s="1453"/>
      <c r="F439" s="1453"/>
      <c r="G439" s="1453"/>
      <c r="H439" s="1453"/>
      <c r="I439" s="1453"/>
      <c r="J439" s="1453"/>
      <c r="K439" s="1453"/>
      <c r="L439" s="1453"/>
      <c r="M439" s="1453"/>
      <c r="N439" s="1453"/>
      <c r="O439" s="1453"/>
      <c r="P439" s="1453"/>
      <c r="Q439" s="1453"/>
      <c r="R439" s="1453"/>
      <c r="S439" s="1453"/>
      <c r="T439" s="1453"/>
      <c r="U439" s="1453"/>
      <c r="V439" s="1453"/>
      <c r="W439" s="1453"/>
      <c r="X439" s="1453"/>
      <c r="Y439" s="1453"/>
      <c r="Z439" s="1453"/>
      <c r="AA439" s="1453"/>
      <c r="AB439" s="1453"/>
      <c r="AC439" s="1453"/>
      <c r="AD439" s="1453"/>
      <c r="AE439" s="1453"/>
      <c r="AF439" s="1454"/>
      <c r="AG439" s="1424">
        <v>45</v>
      </c>
      <c r="AH439" s="1424"/>
      <c r="AI439" s="1424"/>
      <c r="AJ439" s="1424"/>
    </row>
    <row r="440" spans="1:55" ht="12.9" customHeight="1">
      <c r="D440" s="1452" t="s">
        <v>1033</v>
      </c>
      <c r="E440" s="1453"/>
      <c r="F440" s="1453"/>
      <c r="G440" s="1453"/>
      <c r="H440" s="1453"/>
      <c r="I440" s="1453"/>
      <c r="J440" s="1453"/>
      <c r="K440" s="1453"/>
      <c r="L440" s="1453"/>
      <c r="M440" s="1453"/>
      <c r="N440" s="1453"/>
      <c r="O440" s="1453"/>
      <c r="P440" s="1453"/>
      <c r="Q440" s="1453"/>
      <c r="R440" s="1453"/>
      <c r="S440" s="1453"/>
      <c r="T440" s="1453"/>
      <c r="U440" s="1453"/>
      <c r="V440" s="1453"/>
      <c r="W440" s="1453"/>
      <c r="X440" s="1453"/>
      <c r="Y440" s="1453"/>
      <c r="Z440" s="1453"/>
      <c r="AA440" s="1453"/>
      <c r="AB440" s="1453"/>
      <c r="AC440" s="1453"/>
      <c r="AD440" s="1453"/>
      <c r="AE440" s="1453"/>
      <c r="AF440" s="1454"/>
      <c r="AG440" s="1424">
        <v>45</v>
      </c>
      <c r="AH440" s="1424"/>
      <c r="AI440" s="1424"/>
      <c r="AJ440" s="1424"/>
    </row>
    <row r="441" spans="1:55" ht="12.9" customHeight="1">
      <c r="D441" s="1452" t="s">
        <v>1035</v>
      </c>
      <c r="E441" s="1453"/>
      <c r="F441" s="1453"/>
      <c r="G441" s="1453"/>
      <c r="H441" s="1453"/>
      <c r="I441" s="1453"/>
      <c r="J441" s="1453"/>
      <c r="K441" s="1453"/>
      <c r="L441" s="1453"/>
      <c r="M441" s="1453"/>
      <c r="N441" s="1453"/>
      <c r="O441" s="1453"/>
      <c r="P441" s="1453"/>
      <c r="Q441" s="1453"/>
      <c r="R441" s="1453"/>
      <c r="S441" s="1453"/>
      <c r="T441" s="1453"/>
      <c r="U441" s="1453"/>
      <c r="V441" s="1453"/>
      <c r="W441" s="1453"/>
      <c r="X441" s="1453"/>
      <c r="Y441" s="1453"/>
      <c r="Z441" s="1453"/>
      <c r="AA441" s="1453"/>
      <c r="AB441" s="1453"/>
      <c r="AC441" s="1453"/>
      <c r="AD441" s="1453"/>
      <c r="AE441" s="1453"/>
      <c r="AF441" s="1454"/>
      <c r="AG441" s="1451">
        <f>IF(ISERROR(AG440/AG439),0,AG440/AG439)</f>
        <v>1</v>
      </c>
      <c r="AH441" s="1451"/>
      <c r="AI441" s="1451"/>
      <c r="AJ441" s="1451"/>
    </row>
    <row r="442" spans="1:55" ht="12.9" customHeight="1">
      <c r="D442" s="1452" t="s">
        <v>1034</v>
      </c>
      <c r="E442" s="1453"/>
      <c r="F442" s="1453"/>
      <c r="G442" s="1453"/>
      <c r="H442" s="1453"/>
      <c r="I442" s="1453"/>
      <c r="J442" s="1453"/>
      <c r="K442" s="1453"/>
      <c r="L442" s="1453"/>
      <c r="M442" s="1453"/>
      <c r="N442" s="1453"/>
      <c r="O442" s="1453"/>
      <c r="P442" s="1453"/>
      <c r="Q442" s="1453"/>
      <c r="R442" s="1453"/>
      <c r="S442" s="1453"/>
      <c r="T442" s="1453"/>
      <c r="U442" s="1453"/>
      <c r="V442" s="1453"/>
      <c r="W442" s="1453"/>
      <c r="X442" s="1453"/>
      <c r="Y442" s="1453"/>
      <c r="Z442" s="1453"/>
      <c r="AA442" s="1453"/>
      <c r="AB442" s="1453"/>
      <c r="AC442" s="1453"/>
      <c r="AD442" s="1453"/>
      <c r="AE442" s="1453"/>
      <c r="AF442" s="1454"/>
      <c r="AG442" s="1450">
        <f>20509+17896+17896-1905</f>
        <v>54396</v>
      </c>
      <c r="AH442" s="1450"/>
      <c r="AI442" s="1450"/>
      <c r="AJ442" s="1450"/>
    </row>
    <row r="443" spans="1:55" ht="12.9" customHeight="1">
      <c r="D443" s="1452" t="s">
        <v>1036</v>
      </c>
      <c r="E443" s="1453"/>
      <c r="F443" s="1453"/>
      <c r="G443" s="1453"/>
      <c r="H443" s="1453"/>
      <c r="I443" s="1453"/>
      <c r="J443" s="1453"/>
      <c r="K443" s="1453"/>
      <c r="L443" s="1453"/>
      <c r="M443" s="1453"/>
      <c r="N443" s="1453"/>
      <c r="O443" s="1453"/>
      <c r="P443" s="1453"/>
      <c r="Q443" s="1453"/>
      <c r="R443" s="1453"/>
      <c r="S443" s="1453"/>
      <c r="T443" s="1453"/>
      <c r="U443" s="1453"/>
      <c r="V443" s="1453"/>
      <c r="W443" s="1453"/>
      <c r="X443" s="1453"/>
      <c r="Y443" s="1453"/>
      <c r="Z443" s="1453"/>
      <c r="AA443" s="1453"/>
      <c r="AB443" s="1453"/>
      <c r="AC443" s="1453"/>
      <c r="AD443" s="1453"/>
      <c r="AE443" s="1453"/>
      <c r="AF443" s="1454"/>
      <c r="AG443" s="1450">
        <v>54396</v>
      </c>
      <c r="AH443" s="1450"/>
      <c r="AI443" s="1450"/>
      <c r="AJ443" s="1450"/>
    </row>
    <row r="444" spans="1:55" ht="12.9" customHeight="1">
      <c r="D444" s="1452" t="s">
        <v>1037</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4"/>
      <c r="AG444" s="1451">
        <f>IF(ISERROR(AG443/AG442),0,AG443/AG442)</f>
        <v>1</v>
      </c>
      <c r="AH444" s="1451"/>
      <c r="AI444" s="1451"/>
      <c r="AJ444" s="1451"/>
    </row>
    <row r="445" spans="1:55" ht="12.9" customHeight="1">
      <c r="D445" s="1452" t="s">
        <v>1038</v>
      </c>
      <c r="E445" s="1453"/>
      <c r="F445" s="1453"/>
      <c r="G445" s="1453"/>
      <c r="H445" s="1453"/>
      <c r="I445" s="1453"/>
      <c r="J445" s="1453"/>
      <c r="K445" s="1453"/>
      <c r="L445" s="1453"/>
      <c r="M445" s="1453"/>
      <c r="N445" s="1453"/>
      <c r="O445" s="1453"/>
      <c r="P445" s="1453"/>
      <c r="Q445" s="1453"/>
      <c r="R445" s="1453"/>
      <c r="S445" s="1453"/>
      <c r="T445" s="1453"/>
      <c r="U445" s="1453"/>
      <c r="V445" s="1453"/>
      <c r="W445" s="1453"/>
      <c r="X445" s="1453"/>
      <c r="Y445" s="1453"/>
      <c r="Z445" s="1453"/>
      <c r="AA445" s="1453"/>
      <c r="AB445" s="1453"/>
      <c r="AC445" s="1453"/>
      <c r="AD445" s="1453"/>
      <c r="AE445" s="1453"/>
      <c r="AF445" s="1454"/>
      <c r="AG445" s="1451">
        <f>MIN(IF(AG441&gt;AG444,AG444,AG441),1)</f>
        <v>1</v>
      </c>
      <c r="AH445" s="1451"/>
      <c r="AI445" s="1451"/>
      <c r="AJ445" s="1451"/>
    </row>
    <row r="446" spans="1:55" ht="12.9" customHeight="1">
      <c r="D446" s="1452" t="s">
        <v>2088</v>
      </c>
      <c r="E446" s="1494"/>
      <c r="F446" s="1494"/>
      <c r="G446" s="1494"/>
      <c r="H446" s="1494"/>
      <c r="I446" s="1494"/>
      <c r="J446" s="1494"/>
      <c r="K446" s="1494"/>
      <c r="L446" s="1494"/>
      <c r="M446" s="1494"/>
      <c r="N446" s="1494"/>
      <c r="O446" s="1494"/>
      <c r="P446" s="1494"/>
      <c r="Q446" s="1494"/>
      <c r="R446" s="1494"/>
      <c r="S446" s="1494"/>
      <c r="T446" s="1494"/>
      <c r="U446" s="1494"/>
      <c r="V446" s="1494"/>
      <c r="W446" s="1494"/>
      <c r="X446" s="1494"/>
      <c r="Y446" s="1494"/>
      <c r="Z446" s="1494"/>
      <c r="AA446" s="1494"/>
      <c r="AB446" s="1494"/>
      <c r="AC446" s="1494"/>
      <c r="AD446" s="1494"/>
      <c r="AE446" s="1494"/>
      <c r="AF446" s="1495"/>
      <c r="AG446" s="1450">
        <v>9700</v>
      </c>
      <c r="AH446" s="1450"/>
      <c r="AI446" s="1450"/>
      <c r="AJ446" s="1450"/>
      <c r="AZ446" s="34"/>
      <c r="BA446" s="34"/>
      <c r="BB446" s="34"/>
      <c r="BC446" s="34"/>
    </row>
    <row r="447" spans="1:55" ht="12.9" customHeight="1">
      <c r="D447" s="1493" t="s">
        <v>570</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450">
        <v>9700</v>
      </c>
      <c r="AH447" s="1450"/>
      <c r="AI447" s="1450"/>
      <c r="AJ447" s="1450"/>
      <c r="AZ447" s="3"/>
      <c r="BA447" s="3"/>
      <c r="BB447" s="3"/>
      <c r="BC447" s="3"/>
    </row>
    <row r="448" spans="1:55" ht="12.9" customHeight="1">
      <c r="D448" s="1452" t="s">
        <v>1206</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450">
        <f>9700+1217</f>
        <v>10917</v>
      </c>
      <c r="AH448" s="1450"/>
      <c r="AI448" s="1450"/>
      <c r="AJ448" s="1450"/>
      <c r="AZ448" s="3"/>
      <c r="BA448" s="3"/>
      <c r="BB448" s="3"/>
      <c r="BC448" s="3"/>
    </row>
    <row r="449" spans="1:55" ht="12.9" customHeight="1">
      <c r="D449" s="1452" t="s">
        <v>1039</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450">
        <v>0</v>
      </c>
      <c r="AH449" s="1450"/>
      <c r="AI449" s="1450"/>
      <c r="AJ449" s="1450"/>
      <c r="BB449" s="3"/>
      <c r="BC449" s="3"/>
    </row>
    <row r="450" spans="1:55" ht="12.9" customHeight="1">
      <c r="D450" s="1593" t="s">
        <v>1040</v>
      </c>
      <c r="E450" s="1594"/>
      <c r="F450" s="1594"/>
      <c r="G450" s="1594"/>
      <c r="H450" s="1594"/>
      <c r="I450" s="1594"/>
      <c r="J450" s="1594"/>
      <c r="K450" s="1594"/>
      <c r="L450" s="1594"/>
      <c r="M450" s="1594"/>
      <c r="N450" s="1594"/>
      <c r="O450" s="1594"/>
      <c r="P450" s="1594"/>
      <c r="Q450" s="1594"/>
      <c r="R450" s="1594"/>
      <c r="S450" s="1594"/>
      <c r="T450" s="1594"/>
      <c r="U450" s="1594"/>
      <c r="V450" s="1594"/>
      <c r="W450" s="1594"/>
      <c r="X450" s="1594"/>
      <c r="Y450" s="1594"/>
      <c r="Z450" s="1594"/>
      <c r="AA450" s="1594"/>
      <c r="AB450" s="1594"/>
      <c r="AC450" s="1594"/>
      <c r="AD450" s="1594"/>
      <c r="AE450" s="1594"/>
      <c r="AF450" s="1595"/>
      <c r="AG450" s="1460">
        <f>AG442+AG446+AG448+AG449</f>
        <v>75013</v>
      </c>
      <c r="AH450" s="1460"/>
      <c r="AI450" s="1460"/>
      <c r="AJ450" s="1460"/>
      <c r="AZ450" s="3"/>
      <c r="BA450" s="3"/>
      <c r="BB450" s="3"/>
      <c r="BC450" s="3"/>
    </row>
    <row r="451" spans="1:55" ht="12.9" customHeight="1">
      <c r="D451" s="1606" t="s">
        <v>1207</v>
      </c>
      <c r="E451" s="1606"/>
      <c r="F451" s="1606"/>
      <c r="G451" s="1606"/>
      <c r="H451" s="1606"/>
      <c r="I451" s="1606"/>
      <c r="J451" s="1606"/>
      <c r="K451" s="1606"/>
      <c r="L451" s="1606"/>
      <c r="M451" s="1606"/>
      <c r="N451" s="1606"/>
      <c r="O451" s="1606"/>
      <c r="P451" s="1606"/>
      <c r="Q451" s="1606"/>
      <c r="R451" s="1606"/>
      <c r="S451" s="1606"/>
      <c r="T451" s="1606"/>
      <c r="U451" s="1606"/>
      <c r="V451" s="1606"/>
      <c r="W451" s="1606"/>
      <c r="X451" s="1606"/>
      <c r="Y451" s="1606"/>
      <c r="Z451" s="1606"/>
      <c r="AA451" s="1606"/>
      <c r="AB451" s="1606"/>
      <c r="AC451" s="1606"/>
      <c r="AD451" s="1606"/>
      <c r="AE451" s="1606"/>
      <c r="AF451" s="1606"/>
      <c r="AG451" s="1606"/>
      <c r="AH451" s="1606"/>
      <c r="AI451" s="1606"/>
      <c r="AJ451" s="1606"/>
      <c r="AZ451" s="3"/>
      <c r="BA451" s="3"/>
      <c r="BB451" s="3"/>
      <c r="BC451" s="3"/>
    </row>
    <row r="452" spans="1:55" ht="12.9" customHeight="1">
      <c r="D452" s="1607"/>
      <c r="E452" s="1607"/>
      <c r="F452" s="1607"/>
      <c r="G452" s="1607"/>
      <c r="H452" s="1607"/>
      <c r="I452" s="1607"/>
      <c r="J452" s="1607"/>
      <c r="K452" s="1607"/>
      <c r="L452" s="1607"/>
      <c r="M452" s="1607"/>
      <c r="N452" s="1607"/>
      <c r="O452" s="1607"/>
      <c r="P452" s="1607"/>
      <c r="Q452" s="1607"/>
      <c r="R452" s="1607"/>
      <c r="S452" s="1607"/>
      <c r="T452" s="1607"/>
      <c r="U452" s="1607"/>
      <c r="V452" s="1607"/>
      <c r="W452" s="1607"/>
      <c r="X452" s="1607"/>
      <c r="Y452" s="1607"/>
      <c r="Z452" s="1607"/>
      <c r="AA452" s="1607"/>
      <c r="AB452" s="1607"/>
      <c r="AC452" s="1607"/>
      <c r="AD452" s="1607"/>
      <c r="AE452" s="1607"/>
      <c r="AF452" s="1607"/>
      <c r="AG452" s="1607"/>
      <c r="AH452" s="1607"/>
      <c r="AI452" s="1607"/>
      <c r="AJ452" s="160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12">
        <f>IF(AG437=0,"",'Sources and Uses Budget'!B105/Application!AG437)</f>
        <v>907625.95652173914</v>
      </c>
      <c r="AD454" s="1412"/>
      <c r="AE454" s="1412"/>
      <c r="AF454" s="1412"/>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12">
        <f>IF(AG437=0,"",'Sources and Uses Budget'!C105/Application!AG437)</f>
        <v>834526</v>
      </c>
      <c r="AD455" s="1412"/>
      <c r="AE455" s="1412"/>
      <c r="AF455" s="1412"/>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12">
        <f>IF(AG437=0,"",('Sources and Uses Budget'!$S$107+'Sources and Uses Budget'!$T$107)/Application!AG437)</f>
        <v>781675.04347826086</v>
      </c>
      <c r="AD456" s="1412"/>
      <c r="AE456" s="1412"/>
      <c r="AF456" s="1412"/>
      <c r="AG456" s="177"/>
      <c r="AH456" s="177"/>
      <c r="AI456" s="177"/>
      <c r="AJ456" s="183"/>
      <c r="AZ456" s="3"/>
      <c r="BA456" s="3"/>
      <c r="BB456" s="3"/>
      <c r="BC456" s="3"/>
    </row>
    <row r="457" spans="1:55" ht="12.9" customHeight="1">
      <c r="D457" s="177"/>
      <c r="E457" s="177"/>
      <c r="F457" s="141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3"/>
      <c r="H457" s="1413"/>
      <c r="I457" s="1413"/>
      <c r="J457" s="1413"/>
      <c r="K457" s="1413"/>
      <c r="L457" s="1413"/>
      <c r="M457" s="1413"/>
      <c r="N457" s="1413"/>
      <c r="O457" s="1413"/>
      <c r="P457" s="1413"/>
      <c r="Q457" s="1413"/>
      <c r="R457" s="1413"/>
      <c r="S457" s="1413"/>
      <c r="T457" s="1413"/>
      <c r="U457" s="1413"/>
      <c r="V457" s="1413"/>
      <c r="W457" s="1413"/>
      <c r="X457" s="1413"/>
      <c r="Y457" s="1413"/>
      <c r="Z457" s="1413"/>
      <c r="AA457" s="1413"/>
      <c r="AB457" s="1413"/>
      <c r="AC457" s="515"/>
      <c r="AD457" s="177"/>
      <c r="AE457" s="177"/>
      <c r="AF457" s="177"/>
      <c r="AG457" s="177"/>
      <c r="AH457" s="177"/>
      <c r="AI457" s="177"/>
      <c r="AJ457" s="183"/>
      <c r="AZ457" s="3"/>
      <c r="BA457" s="3"/>
      <c r="BB457" s="3"/>
      <c r="BC457" s="3"/>
    </row>
    <row r="458" spans="1:55" ht="12.9" customHeight="1">
      <c r="A458" s="2"/>
      <c r="D458" s="2"/>
      <c r="E458" s="177"/>
      <c r="F458" s="1413"/>
      <c r="G458" s="1413"/>
      <c r="H458" s="1413"/>
      <c r="I458" s="1413"/>
      <c r="J458" s="1413"/>
      <c r="K458" s="1413"/>
      <c r="L458" s="1413"/>
      <c r="M458" s="1413"/>
      <c r="N458" s="1413"/>
      <c r="O458" s="1413"/>
      <c r="P458" s="1413"/>
      <c r="Q458" s="1413"/>
      <c r="R458" s="1413"/>
      <c r="S458" s="1413"/>
      <c r="T458" s="1413"/>
      <c r="U458" s="1413"/>
      <c r="V458" s="1413"/>
      <c r="W458" s="1413"/>
      <c r="X458" s="1413"/>
      <c r="Y458" s="1413"/>
      <c r="Z458" s="1413"/>
      <c r="AA458" s="1413"/>
      <c r="AB458" s="1413"/>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423" t="s">
        <v>2100</v>
      </c>
      <c r="E465" s="1415"/>
      <c r="F465" s="1415"/>
      <c r="G465" s="1415"/>
      <c r="H465" s="1415"/>
      <c r="I465" s="1415"/>
      <c r="J465" s="1415"/>
      <c r="K465" s="1415"/>
      <c r="L465" s="1415"/>
      <c r="M465" s="1415"/>
      <c r="N465" s="1415"/>
      <c r="O465" s="1415"/>
      <c r="P465" s="1415"/>
      <c r="Q465" s="1415"/>
      <c r="R465" s="1415"/>
      <c r="S465" s="1415"/>
      <c r="T465" s="1415"/>
      <c r="U465" s="1415"/>
      <c r="V465" s="1416"/>
      <c r="W465" s="1430">
        <v>0</v>
      </c>
      <c r="X465" s="1431"/>
      <c r="Y465" s="1432"/>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414" t="s">
        <v>694</v>
      </c>
      <c r="E466" s="1415"/>
      <c r="F466" s="1415"/>
      <c r="G466" s="1415"/>
      <c r="H466" s="1415"/>
      <c r="I466" s="1415"/>
      <c r="J466" s="1415"/>
      <c r="K466" s="1415"/>
      <c r="L466" s="1415"/>
      <c r="M466" s="1415"/>
      <c r="N466" s="1415"/>
      <c r="O466" s="1415"/>
      <c r="P466" s="1415"/>
      <c r="Q466" s="1415"/>
      <c r="R466" s="1415"/>
      <c r="S466" s="1415"/>
      <c r="T466" s="1415"/>
      <c r="U466" s="1415"/>
      <c r="V466" s="1416"/>
      <c r="W466" s="1430">
        <v>0</v>
      </c>
      <c r="X466" s="1431"/>
      <c r="Y466" s="1432"/>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414" t="s">
        <v>695</v>
      </c>
      <c r="E467" s="1415"/>
      <c r="F467" s="1415"/>
      <c r="G467" s="1415"/>
      <c r="H467" s="1415"/>
      <c r="I467" s="1415"/>
      <c r="J467" s="1415"/>
      <c r="K467" s="1415"/>
      <c r="L467" s="1415"/>
      <c r="M467" s="1415"/>
      <c r="N467" s="1415"/>
      <c r="O467" s="1415"/>
      <c r="P467" s="1415"/>
      <c r="Q467" s="1415"/>
      <c r="R467" s="1415"/>
      <c r="S467" s="1415"/>
      <c r="T467" s="1415"/>
      <c r="U467" s="1415"/>
      <c r="V467" s="1416"/>
      <c r="W467" s="1430">
        <v>0</v>
      </c>
      <c r="X467" s="1431"/>
      <c r="Y467" s="1432"/>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414" t="s">
        <v>696</v>
      </c>
      <c r="E468" s="1415"/>
      <c r="F468" s="1415"/>
      <c r="G468" s="1415"/>
      <c r="H468" s="1415"/>
      <c r="I468" s="1415"/>
      <c r="J468" s="1415"/>
      <c r="K468" s="1415"/>
      <c r="L468" s="1415"/>
      <c r="M468" s="1415"/>
      <c r="N468" s="1415"/>
      <c r="O468" s="1415"/>
      <c r="P468" s="1415"/>
      <c r="Q468" s="1415"/>
      <c r="R468" s="1415"/>
      <c r="S468" s="1415"/>
      <c r="T468" s="1415"/>
      <c r="U468" s="1415"/>
      <c r="V468" s="1416"/>
      <c r="W468" s="1430">
        <v>0</v>
      </c>
      <c r="X468" s="1431"/>
      <c r="Y468" s="1432"/>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414" t="s">
        <v>882</v>
      </c>
      <c r="E469" s="1415"/>
      <c r="F469" s="1415"/>
      <c r="G469" s="1415"/>
      <c r="H469" s="1415"/>
      <c r="I469" s="1415"/>
      <c r="J469" s="1415"/>
      <c r="K469" s="1415"/>
      <c r="L469" s="1415"/>
      <c r="M469" s="1415"/>
      <c r="N469" s="1415"/>
      <c r="O469" s="1415"/>
      <c r="P469" s="1415"/>
      <c r="Q469" s="1415"/>
      <c r="R469" s="1415"/>
      <c r="S469" s="1415"/>
      <c r="T469" s="1415"/>
      <c r="U469" s="1415"/>
      <c r="V469" s="1416"/>
      <c r="W469" s="1430">
        <v>0</v>
      </c>
      <c r="X469" s="1431"/>
      <c r="Y469" s="1432"/>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414" t="s">
        <v>697</v>
      </c>
      <c r="E470" s="1415"/>
      <c r="F470" s="1415"/>
      <c r="G470" s="1415"/>
      <c r="H470" s="1415"/>
      <c r="I470" s="1415"/>
      <c r="J470" s="1415"/>
      <c r="K470" s="1415"/>
      <c r="L470" s="1415"/>
      <c r="M470" s="1415"/>
      <c r="N470" s="1415"/>
      <c r="O470" s="1415"/>
      <c r="P470" s="1415"/>
      <c r="Q470" s="1415"/>
      <c r="R470" s="1415"/>
      <c r="S470" s="1415"/>
      <c r="T470" s="1415"/>
      <c r="U470" s="1415"/>
      <c r="V470" s="1416"/>
      <c r="W470" s="1430">
        <v>0</v>
      </c>
      <c r="X470" s="1431"/>
      <c r="Y470" s="1432"/>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414" t="s">
        <v>1013</v>
      </c>
      <c r="E471" s="1415"/>
      <c r="F471" s="1415"/>
      <c r="G471" s="1415"/>
      <c r="H471" s="1415"/>
      <c r="I471" s="1415"/>
      <c r="J471" s="1415"/>
      <c r="K471" s="1415"/>
      <c r="L471" s="1415"/>
      <c r="M471" s="1415"/>
      <c r="N471" s="1415"/>
      <c r="O471" s="1415"/>
      <c r="P471" s="1415"/>
      <c r="Q471" s="1415"/>
      <c r="R471" s="1415"/>
      <c r="S471" s="1415"/>
      <c r="T471" s="1415"/>
      <c r="U471" s="1415"/>
      <c r="V471" s="1416"/>
      <c r="W471" s="1430">
        <v>0</v>
      </c>
      <c r="X471" s="1431"/>
      <c r="Y471" s="1432"/>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423" t="s">
        <v>2191</v>
      </c>
      <c r="E472" s="1433"/>
      <c r="F472" s="1433"/>
      <c r="G472" s="1433"/>
      <c r="H472" s="1433"/>
      <c r="I472" s="1433"/>
      <c r="J472" s="1433"/>
      <c r="K472" s="1433"/>
      <c r="L472" s="1433"/>
      <c r="M472" s="1433"/>
      <c r="N472" s="1433"/>
      <c r="O472" s="1433"/>
      <c r="P472" s="1433"/>
      <c r="Q472" s="1433"/>
      <c r="R472" s="1433"/>
      <c r="S472" s="1433"/>
      <c r="T472" s="1433"/>
      <c r="U472" s="1433"/>
      <c r="V472" s="1434"/>
      <c r="W472" s="1430">
        <v>0</v>
      </c>
      <c r="X472" s="1431"/>
      <c r="Y472" s="1432"/>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23" t="s">
        <v>1655</v>
      </c>
      <c r="E473" s="1415"/>
      <c r="F473" s="1415"/>
      <c r="G473" s="1415"/>
      <c r="H473" s="1415"/>
      <c r="I473" s="1415"/>
      <c r="J473" s="1415"/>
      <c r="K473" s="1415"/>
      <c r="L473" s="1415"/>
      <c r="M473" s="1415"/>
      <c r="N473" s="1415"/>
      <c r="O473" s="1415"/>
      <c r="P473" s="1415"/>
      <c r="Q473" s="1415"/>
      <c r="R473" s="1415"/>
      <c r="S473" s="1415"/>
      <c r="T473" s="1415"/>
      <c r="U473" s="1415"/>
      <c r="V473" s="1416"/>
      <c r="W473" s="1430">
        <v>0</v>
      </c>
      <c r="X473" s="1431"/>
      <c r="Y473" s="143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03" t="s">
        <v>2693</v>
      </c>
      <c r="H474" s="1604"/>
      <c r="I474" s="1604"/>
      <c r="J474" s="1604"/>
      <c r="K474" s="1604"/>
      <c r="L474" s="1604"/>
      <c r="M474" s="1604"/>
      <c r="N474" s="1604"/>
      <c r="O474" s="1604"/>
      <c r="P474" s="1604"/>
      <c r="Q474" s="1604"/>
      <c r="R474" s="1604"/>
      <c r="S474" s="1604"/>
      <c r="T474" s="1604"/>
      <c r="U474" s="1604"/>
      <c r="V474" s="1605"/>
      <c r="W474" s="1430">
        <v>11</v>
      </c>
      <c r="X474" s="1431"/>
      <c r="Y474" s="143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54" t="s">
        <v>811</v>
      </c>
      <c r="B480" s="1554"/>
      <c r="C480" s="1554"/>
      <c r="D480" s="1554"/>
      <c r="E480" s="1554"/>
      <c r="F480" s="1554"/>
      <c r="G480" s="1554"/>
      <c r="H480" s="1554"/>
      <c r="I480" s="1554"/>
      <c r="J480" s="1554"/>
      <c r="K480" s="1554"/>
      <c r="L480" s="1554"/>
      <c r="M480" s="1554"/>
      <c r="N480" s="1554"/>
      <c r="O480" s="1554"/>
      <c r="P480" s="1554"/>
      <c r="Q480" s="1554"/>
      <c r="R480" s="1554"/>
      <c r="S480" s="1554"/>
      <c r="T480" s="1554"/>
      <c r="U480" s="1554"/>
      <c r="V480" s="1554"/>
      <c r="W480" s="1554"/>
      <c r="X480" s="1554"/>
      <c r="Y480" s="1554"/>
      <c r="Z480" s="1554"/>
      <c r="AA480" s="1554"/>
      <c r="AB480" s="1554"/>
      <c r="AC480" s="1554"/>
      <c r="AD480" s="1554"/>
      <c r="AE480" s="1554"/>
      <c r="AF480" s="1554"/>
      <c r="AG480" s="1554"/>
      <c r="AH480" s="1554"/>
      <c r="AI480" s="1554"/>
      <c r="AJ480" s="1554"/>
      <c r="AK480" s="1554"/>
      <c r="AL480" s="1554"/>
      <c r="AM480" s="1554"/>
      <c r="AN480" s="1554"/>
      <c r="AO480" s="1554"/>
      <c r="AP480" s="1554"/>
      <c r="AQ480" s="1554"/>
      <c r="AR480" s="1554"/>
      <c r="AS480" s="1554"/>
      <c r="AT480" s="1554"/>
      <c r="AU480" s="95"/>
      <c r="AV480" s="95"/>
      <c r="AW480" s="95"/>
      <c r="AX480" s="95"/>
      <c r="AY480" s="95"/>
      <c r="AZ480" s="3"/>
      <c r="BB480" s="3"/>
      <c r="BC480" s="3"/>
    </row>
    <row r="481" spans="1:55" ht="12.9" customHeight="1">
      <c r="A481" s="1554"/>
      <c r="B481" s="1554"/>
      <c r="C481" s="1554"/>
      <c r="D481" s="1554"/>
      <c r="E481" s="1554"/>
      <c r="F481" s="1554"/>
      <c r="G481" s="1554"/>
      <c r="H481" s="1554"/>
      <c r="I481" s="1554"/>
      <c r="J481" s="1554"/>
      <c r="K481" s="1554"/>
      <c r="L481" s="1554"/>
      <c r="M481" s="1554"/>
      <c r="N481" s="1554"/>
      <c r="O481" s="1554"/>
      <c r="P481" s="1554"/>
      <c r="Q481" s="1554"/>
      <c r="R481" s="1554"/>
      <c r="S481" s="1554"/>
      <c r="T481" s="1554"/>
      <c r="U481" s="1554"/>
      <c r="V481" s="1554"/>
      <c r="W481" s="1554"/>
      <c r="X481" s="1554"/>
      <c r="Y481" s="1554"/>
      <c r="Z481" s="1554"/>
      <c r="AA481" s="1554"/>
      <c r="AB481" s="1554"/>
      <c r="AC481" s="1554"/>
      <c r="AD481" s="1554"/>
      <c r="AE481" s="1554"/>
      <c r="AF481" s="1554"/>
      <c r="AG481" s="1554"/>
      <c r="AH481" s="1554"/>
      <c r="AI481" s="1554"/>
      <c r="AJ481" s="1554"/>
      <c r="AK481" s="1554"/>
      <c r="AL481" s="1554"/>
      <c r="AM481" s="1554"/>
      <c r="AN481" s="1554"/>
      <c r="AO481" s="1554"/>
      <c r="AP481" s="1554"/>
      <c r="AQ481" s="1554"/>
      <c r="AR481" s="1554"/>
      <c r="AS481" s="1554"/>
      <c r="AT481" s="1554"/>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425" t="s">
        <v>393</v>
      </c>
      <c r="R485" s="1426"/>
      <c r="S485" s="1426"/>
      <c r="T485" s="1426"/>
      <c r="U485" s="1426"/>
      <c r="V485" s="1426"/>
      <c r="W485" s="1426"/>
      <c r="X485" s="1426"/>
      <c r="Y485" s="1426"/>
      <c r="Z485" s="1426"/>
      <c r="AA485" s="1426"/>
      <c r="AB485" s="1426"/>
      <c r="AC485" s="1426"/>
      <c r="AD485" s="1426"/>
      <c r="AE485" s="1426"/>
      <c r="AF485" s="1426"/>
      <c r="AG485" s="1426"/>
      <c r="AH485" s="1426"/>
      <c r="AI485" s="1426"/>
      <c r="AJ485" s="1426"/>
      <c r="AK485" s="1427"/>
      <c r="AZ485" s="3"/>
      <c r="BB485" s="3"/>
      <c r="BC485" s="3"/>
    </row>
    <row r="486" spans="1:55" ht="12.9" customHeight="1">
      <c r="B486" s="45" t="s">
        <v>394</v>
      </c>
      <c r="C486" s="5"/>
      <c r="D486" s="5"/>
      <c r="E486" s="5"/>
      <c r="F486" s="5"/>
      <c r="G486" s="5"/>
      <c r="H486" s="5"/>
      <c r="I486" s="5"/>
      <c r="J486" s="5"/>
      <c r="K486" s="5"/>
      <c r="L486" s="5"/>
      <c r="M486" s="5"/>
      <c r="N486" s="5"/>
      <c r="O486" s="5"/>
      <c r="P486" s="5"/>
      <c r="Q486" s="1409" t="s">
        <v>2694</v>
      </c>
      <c r="R486" s="1410"/>
      <c r="S486" s="1410"/>
      <c r="T486" s="1410"/>
      <c r="U486" s="1410"/>
      <c r="V486" s="1410"/>
      <c r="W486" s="1410"/>
      <c r="X486" s="1410"/>
      <c r="Y486" s="1410"/>
      <c r="Z486" s="1410"/>
      <c r="AA486" s="1410"/>
      <c r="AB486" s="1410"/>
      <c r="AC486" s="1410"/>
      <c r="AD486" s="1410"/>
      <c r="AE486" s="1410"/>
      <c r="AF486" s="1410"/>
      <c r="AG486" s="1410"/>
      <c r="AH486" s="1410"/>
      <c r="AI486" s="1410"/>
      <c r="AJ486" s="1410"/>
      <c r="AK486" s="1411"/>
      <c r="AZ486" s="3"/>
      <c r="BB486" s="3"/>
      <c r="BC486" s="3"/>
    </row>
    <row r="487" spans="1:55" ht="12.9" customHeight="1">
      <c r="B487" s="45" t="s">
        <v>395</v>
      </c>
      <c r="C487" s="5"/>
      <c r="D487" s="5"/>
      <c r="E487" s="5"/>
      <c r="F487" s="5"/>
      <c r="G487" s="5"/>
      <c r="H487" s="5"/>
      <c r="I487" s="5"/>
      <c r="J487" s="5"/>
      <c r="K487" s="5"/>
      <c r="L487" s="5"/>
      <c r="M487" s="5"/>
      <c r="N487" s="5"/>
      <c r="O487" s="5"/>
      <c r="P487" s="5"/>
      <c r="Q487" s="1409" t="s">
        <v>2695</v>
      </c>
      <c r="R487" s="1410"/>
      <c r="S487" s="1410"/>
      <c r="T487" s="1410"/>
      <c r="U487" s="1410"/>
      <c r="V487" s="1410"/>
      <c r="W487" s="1410"/>
      <c r="X487" s="1410"/>
      <c r="Y487" s="1410"/>
      <c r="Z487" s="1410"/>
      <c r="AA487" s="1410"/>
      <c r="AB487" s="1410"/>
      <c r="AC487" s="1410"/>
      <c r="AD487" s="1410"/>
      <c r="AE487" s="1410"/>
      <c r="AF487" s="1410"/>
      <c r="AG487" s="1410"/>
      <c r="AH487" s="1410"/>
      <c r="AI487" s="1410"/>
      <c r="AJ487" s="1410"/>
      <c r="AK487" s="1411"/>
      <c r="AZ487" s="3"/>
      <c r="BB487" s="3"/>
      <c r="BC487" s="3"/>
    </row>
    <row r="488" spans="1:55" ht="12.9" customHeight="1">
      <c r="B488" s="45" t="s">
        <v>396</v>
      </c>
      <c r="C488" s="5"/>
      <c r="D488" s="5"/>
      <c r="E488" s="5"/>
      <c r="F488" s="5"/>
      <c r="G488" s="5"/>
      <c r="H488" s="5"/>
      <c r="I488" s="5"/>
      <c r="J488" s="5"/>
      <c r="K488" s="5"/>
      <c r="L488" s="5"/>
      <c r="M488" s="5"/>
      <c r="N488" s="5"/>
      <c r="O488" s="5"/>
      <c r="P488" s="5"/>
      <c r="Q488" s="1409" t="s">
        <v>2695</v>
      </c>
      <c r="R488" s="1410"/>
      <c r="S488" s="1410"/>
      <c r="T488" s="1410"/>
      <c r="U488" s="1410"/>
      <c r="V488" s="1410"/>
      <c r="W488" s="1410"/>
      <c r="X488" s="1410"/>
      <c r="Y488" s="1410"/>
      <c r="Z488" s="1410"/>
      <c r="AA488" s="1410"/>
      <c r="AB488" s="1410"/>
      <c r="AC488" s="1410"/>
      <c r="AD488" s="1410"/>
      <c r="AE488" s="1410"/>
      <c r="AF488" s="1410"/>
      <c r="AG488" s="1410"/>
      <c r="AH488" s="1410"/>
      <c r="AI488" s="1410"/>
      <c r="AJ488" s="1410"/>
      <c r="AK488" s="1411"/>
      <c r="AZ488" s="3"/>
      <c r="BA488" s="3"/>
      <c r="BB488" s="3"/>
      <c r="BC488" s="3"/>
    </row>
    <row r="489" spans="1:55" ht="12.9" customHeight="1">
      <c r="B489" s="1483" t="s">
        <v>397</v>
      </c>
      <c r="C489" s="1484"/>
      <c r="D489" s="1484"/>
      <c r="E489" s="1484"/>
      <c r="F489" s="1484"/>
      <c r="G489" s="1484"/>
      <c r="H489" s="1484"/>
      <c r="I489" s="1484"/>
      <c r="J489" s="1484"/>
      <c r="K489" s="1484"/>
      <c r="L489" s="1484"/>
      <c r="M489" s="1484"/>
      <c r="N489" s="1484"/>
      <c r="O489" s="1484"/>
      <c r="P489" s="1485"/>
      <c r="Q489" s="1489" t="s">
        <v>670</v>
      </c>
      <c r="R489" s="1490"/>
      <c r="S489" s="1586" t="s">
        <v>166</v>
      </c>
      <c r="T489" s="1587"/>
      <c r="U489" s="1587"/>
      <c r="V489" s="1587"/>
      <c r="W489" s="1587"/>
      <c r="X489" s="1587"/>
      <c r="Y489" s="1587"/>
      <c r="Z489" s="1587"/>
      <c r="AA489" s="1587"/>
      <c r="AB489" s="1587"/>
      <c r="AC489" s="1587"/>
      <c r="AD489" s="1587"/>
      <c r="AE489" s="1587"/>
      <c r="AF489" s="1587"/>
      <c r="AG489" s="1587"/>
      <c r="AH489" s="1587"/>
      <c r="AI489" s="1587"/>
      <c r="AJ489" s="1587"/>
      <c r="AK489" s="1588"/>
      <c r="AZ489" s="3"/>
      <c r="BA489" s="3"/>
      <c r="BB489" s="3"/>
      <c r="BC489" s="3"/>
    </row>
    <row r="490" spans="1:55" ht="12.9" customHeight="1">
      <c r="B490" s="1486"/>
      <c r="C490" s="1487"/>
      <c r="D490" s="1487"/>
      <c r="E490" s="1487"/>
      <c r="F490" s="1487"/>
      <c r="G490" s="1487"/>
      <c r="H490" s="1487"/>
      <c r="I490" s="1487"/>
      <c r="J490" s="1487"/>
      <c r="K490" s="1487"/>
      <c r="L490" s="1487"/>
      <c r="M490" s="1487"/>
      <c r="N490" s="1487"/>
      <c r="O490" s="1487"/>
      <c r="P490" s="1488"/>
      <c r="Q490" s="1491"/>
      <c r="R490" s="1492"/>
      <c r="S490" s="1589"/>
      <c r="T490" s="1549"/>
      <c r="U490" s="1549"/>
      <c r="V490" s="1549"/>
      <c r="W490" s="1549"/>
      <c r="X490" s="1549"/>
      <c r="Y490" s="1549"/>
      <c r="Z490" s="1549"/>
      <c r="AA490" s="1549"/>
      <c r="AB490" s="1549"/>
      <c r="AC490" s="1549"/>
      <c r="AD490" s="1549"/>
      <c r="AE490" s="1549"/>
      <c r="AF490" s="1549"/>
      <c r="AG490" s="1549"/>
      <c r="AH490" s="1549"/>
      <c r="AI490" s="1549"/>
      <c r="AJ490" s="1549"/>
      <c r="AK490" s="1590"/>
      <c r="AZ490" s="3"/>
      <c r="BA490" s="3"/>
      <c r="BB490" s="3"/>
      <c r="BC490" s="3"/>
    </row>
    <row r="491" spans="1:55" ht="12.9" customHeight="1">
      <c r="B491" s="895" t="s">
        <v>1672</v>
      </c>
      <c r="C491" s="873"/>
      <c r="D491" s="873"/>
      <c r="E491" s="873"/>
      <c r="F491" s="873"/>
      <c r="G491" s="873"/>
      <c r="H491" s="873"/>
      <c r="I491" s="873"/>
      <c r="J491" s="873"/>
      <c r="K491" s="873"/>
      <c r="L491" s="873"/>
      <c r="M491" s="873"/>
      <c r="N491" s="873"/>
      <c r="O491" s="873"/>
      <c r="P491" s="873"/>
      <c r="Q491" s="1417"/>
      <c r="R491" s="1418"/>
      <c r="S491" s="1418"/>
      <c r="T491" s="1418"/>
      <c r="U491" s="1418"/>
      <c r="V491" s="1418"/>
      <c r="W491" s="1418"/>
      <c r="X491" s="1418"/>
      <c r="Y491" s="1418"/>
      <c r="Z491" s="1418"/>
      <c r="AA491" s="1418"/>
      <c r="AB491" s="1418"/>
      <c r="AC491" s="1418"/>
      <c r="AD491" s="1418"/>
      <c r="AE491" s="1418"/>
      <c r="AF491" s="1418"/>
      <c r="AG491" s="1418"/>
      <c r="AH491" s="1418"/>
      <c r="AI491" s="1418"/>
      <c r="AJ491" s="1418"/>
      <c r="AK491" s="1419"/>
      <c r="AZ491" s="3"/>
      <c r="BA491" s="3"/>
      <c r="BB491" s="3"/>
      <c r="BC491" s="3"/>
    </row>
    <row r="492" spans="1:55" ht="12.9" customHeight="1">
      <c r="B492" s="45" t="s">
        <v>398</v>
      </c>
      <c r="C492" s="5"/>
      <c r="D492" s="5"/>
      <c r="E492" s="5"/>
      <c r="F492" s="5"/>
      <c r="G492" s="5"/>
      <c r="H492" s="5"/>
      <c r="I492" s="5"/>
      <c r="J492" s="5"/>
      <c r="K492" s="5"/>
      <c r="L492" s="5"/>
      <c r="M492" s="5"/>
      <c r="N492" s="5"/>
      <c r="O492" s="5"/>
      <c r="P492" s="5"/>
      <c r="Q492" s="1409">
        <v>0</v>
      </c>
      <c r="R492" s="1410"/>
      <c r="S492" s="1410"/>
      <c r="T492" s="1410"/>
      <c r="U492" s="1410"/>
      <c r="V492" s="1410"/>
      <c r="W492" s="1410"/>
      <c r="X492" s="1410"/>
      <c r="Y492" s="1410"/>
      <c r="Z492" s="1410"/>
      <c r="AA492" s="1410"/>
      <c r="AB492" s="1410"/>
      <c r="AC492" s="1410"/>
      <c r="AD492" s="1410"/>
      <c r="AE492" s="1410"/>
      <c r="AF492" s="1410"/>
      <c r="AG492" s="1410"/>
      <c r="AH492" s="1410"/>
      <c r="AI492" s="1410"/>
      <c r="AJ492" s="1410"/>
      <c r="AK492" s="1411"/>
      <c r="AZ492" s="3"/>
      <c r="BA492" s="3"/>
      <c r="BB492" s="3"/>
      <c r="BC492" s="3"/>
    </row>
    <row r="493" spans="1:55" ht="12.9" customHeight="1">
      <c r="B493" s="45" t="s">
        <v>399</v>
      </c>
      <c r="C493" s="5"/>
      <c r="D493" s="5"/>
      <c r="E493" s="5"/>
      <c r="F493" s="5"/>
      <c r="G493" s="5"/>
      <c r="H493" s="5"/>
      <c r="I493" s="5"/>
      <c r="J493" s="5"/>
      <c r="K493" s="5"/>
      <c r="L493" s="5"/>
      <c r="M493" s="5"/>
      <c r="N493" s="5"/>
      <c r="O493" s="5"/>
      <c r="P493" s="5"/>
      <c r="Q493" s="1409">
        <v>0</v>
      </c>
      <c r="R493" s="1410"/>
      <c r="S493" s="1410"/>
      <c r="T493" s="1410"/>
      <c r="U493" s="1410"/>
      <c r="V493" s="1410"/>
      <c r="W493" s="1410"/>
      <c r="X493" s="1410"/>
      <c r="Y493" s="1410"/>
      <c r="Z493" s="1410"/>
      <c r="AA493" s="1410"/>
      <c r="AB493" s="1410"/>
      <c r="AC493" s="1410"/>
      <c r="AD493" s="1410"/>
      <c r="AE493" s="1410"/>
      <c r="AF493" s="1410"/>
      <c r="AG493" s="1410"/>
      <c r="AH493" s="1410"/>
      <c r="AI493" s="1410"/>
      <c r="AJ493" s="1410"/>
      <c r="AK493" s="1411"/>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409">
        <v>0</v>
      </c>
      <c r="R494" s="1410"/>
      <c r="S494" s="1410"/>
      <c r="T494" s="1410"/>
      <c r="U494" s="1410"/>
      <c r="V494" s="1410"/>
      <c r="W494" s="1410"/>
      <c r="X494" s="1410"/>
      <c r="Y494" s="1410"/>
      <c r="Z494" s="1410"/>
      <c r="AA494" s="1410"/>
      <c r="AB494" s="1410"/>
      <c r="AC494" s="1410"/>
      <c r="AD494" s="1410"/>
      <c r="AE494" s="1410"/>
      <c r="AF494" s="1410"/>
      <c r="AG494" s="1410"/>
      <c r="AH494" s="1410"/>
      <c r="AI494" s="1410"/>
      <c r="AJ494" s="1410"/>
      <c r="AK494" s="1411"/>
      <c r="AZ494" s="3"/>
      <c r="BA494" s="3"/>
      <c r="BB494" s="3"/>
      <c r="BC494" s="3"/>
    </row>
    <row r="495" spans="1:55" ht="12.9" customHeight="1">
      <c r="B495" s="121" t="s">
        <v>1670</v>
      </c>
      <c r="C495" s="5"/>
      <c r="D495" s="5"/>
      <c r="E495" s="5"/>
      <c r="F495" s="5"/>
      <c r="G495" s="5"/>
      <c r="H495" s="5"/>
      <c r="I495" s="5"/>
      <c r="J495" s="5"/>
      <c r="K495" s="5"/>
      <c r="L495" s="5"/>
      <c r="M495" s="1420"/>
      <c r="N495" s="1421"/>
      <c r="O495" s="1421"/>
      <c r="P495" s="1422"/>
      <c r="Q495" s="121" t="s">
        <v>1671</v>
      </c>
      <c r="R495" s="5"/>
      <c r="S495" s="5"/>
      <c r="T495" s="5"/>
      <c r="U495" s="5"/>
      <c r="V495" s="5"/>
      <c r="W495" s="5"/>
      <c r="X495" s="5"/>
      <c r="Y495" s="5"/>
      <c r="Z495" s="5"/>
      <c r="AA495" s="5"/>
      <c r="AB495" s="5"/>
      <c r="AC495" s="5"/>
      <c r="AD495" s="5"/>
      <c r="AE495" s="5"/>
      <c r="AF495" s="5"/>
      <c r="AG495" s="5"/>
      <c r="AH495" s="1420">
        <v>10</v>
      </c>
      <c r="AI495" s="1421"/>
      <c r="AJ495" s="1421"/>
      <c r="AK495" s="1422"/>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25" t="s">
        <v>401</v>
      </c>
      <c r="AD499" s="1426"/>
      <c r="AE499" s="1426"/>
      <c r="AF499" s="1426"/>
      <c r="AG499" s="1426"/>
      <c r="AH499" s="1426"/>
      <c r="AI499" s="1426"/>
      <c r="AJ499" s="1426"/>
      <c r="AK499" s="142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25" t="s">
        <v>402</v>
      </c>
      <c r="AD500" s="1426"/>
      <c r="AE500" s="1426"/>
      <c r="AF500" s="1426"/>
      <c r="AG500" s="50" t="s">
        <v>403</v>
      </c>
      <c r="AH500" s="1426" t="s">
        <v>404</v>
      </c>
      <c r="AI500" s="1426"/>
      <c r="AJ500" s="1426"/>
      <c r="AK500" s="1427"/>
      <c r="AZ500" s="3"/>
      <c r="BA500" s="3"/>
      <c r="BB500" s="3"/>
      <c r="BC500" s="3"/>
      <c r="BD500" s="3"/>
      <c r="BE500" s="3"/>
      <c r="BF500" s="3"/>
      <c r="BG500" s="3"/>
      <c r="BH500" s="3"/>
      <c r="BI500" s="3"/>
      <c r="BJ500" s="3"/>
      <c r="BK500" s="3"/>
      <c r="BL500" s="3"/>
      <c r="BM500" s="3"/>
      <c r="BN500" s="3"/>
    </row>
    <row r="501" spans="1:66" ht="12.9" customHeight="1">
      <c r="B501" s="1435" t="s">
        <v>405</v>
      </c>
      <c r="C501" s="1436"/>
      <c r="D501" s="1436"/>
      <c r="E501" s="1436"/>
      <c r="F501" s="1436"/>
      <c r="G501" s="1436"/>
      <c r="H501" s="1437"/>
      <c r="I501" s="42" t="s">
        <v>406</v>
      </c>
      <c r="J501" s="42"/>
      <c r="K501" s="42"/>
      <c r="L501" s="42"/>
      <c r="M501" s="42"/>
      <c r="N501" s="42"/>
      <c r="O501" s="42"/>
      <c r="P501" s="42"/>
      <c r="Q501" s="42"/>
      <c r="R501" s="42"/>
      <c r="S501" s="42"/>
      <c r="T501" s="42"/>
      <c r="U501" s="42"/>
      <c r="V501" s="42"/>
      <c r="W501" s="42"/>
      <c r="AC501" s="1428">
        <v>2</v>
      </c>
      <c r="AD501" s="1429"/>
      <c r="AE501" s="1429"/>
      <c r="AF501" s="1429"/>
      <c r="AG501" s="13" t="s">
        <v>403</v>
      </c>
      <c r="AH501" s="1458">
        <v>2025</v>
      </c>
      <c r="AI501" s="1458"/>
      <c r="AJ501" s="1458"/>
      <c r="AK501" s="1459"/>
      <c r="AZ501" s="3"/>
      <c r="BA501" s="3"/>
      <c r="BB501" s="3"/>
      <c r="BC501" s="3"/>
      <c r="BD501" s="3"/>
      <c r="BE501" s="3"/>
      <c r="BF501" s="3"/>
      <c r="BG501" s="3"/>
      <c r="BH501" s="3"/>
      <c r="BI501" s="3"/>
      <c r="BJ501" s="3"/>
      <c r="BK501" s="3"/>
      <c r="BL501" s="3"/>
      <c r="BM501" s="3"/>
      <c r="BN501" s="3"/>
    </row>
    <row r="502" spans="1:66" ht="12.9" customHeight="1">
      <c r="B502" s="1438"/>
      <c r="C502" s="1439"/>
      <c r="D502" s="1439"/>
      <c r="E502" s="1439"/>
      <c r="F502" s="1439"/>
      <c r="G502" s="1439"/>
      <c r="H502" s="1440"/>
      <c r="I502" s="48" t="s">
        <v>407</v>
      </c>
      <c r="J502" s="48"/>
      <c r="K502" s="48"/>
      <c r="L502" s="48"/>
      <c r="M502" s="48"/>
      <c r="N502" s="48"/>
      <c r="O502" s="48"/>
      <c r="P502" s="48"/>
      <c r="Q502" s="48"/>
      <c r="R502" s="48"/>
      <c r="S502" s="48"/>
      <c r="T502" s="48"/>
      <c r="U502" s="48"/>
      <c r="V502" s="48"/>
      <c r="W502" s="48"/>
      <c r="X502" s="48"/>
      <c r="Y502" s="48"/>
      <c r="Z502" s="48"/>
      <c r="AA502" s="48"/>
      <c r="AB502" s="48"/>
      <c r="AC502" s="1428">
        <v>12</v>
      </c>
      <c r="AD502" s="1429"/>
      <c r="AE502" s="1429"/>
      <c r="AF502" s="1429"/>
      <c r="AG502" s="38" t="s">
        <v>403</v>
      </c>
      <c r="AH502" s="1458">
        <v>2025</v>
      </c>
      <c r="AI502" s="1458"/>
      <c r="AJ502" s="1458"/>
      <c r="AK502" s="1459"/>
      <c r="AZ502" s="3"/>
      <c r="BA502" s="3"/>
      <c r="BB502" s="3"/>
      <c r="BC502" s="3"/>
      <c r="BD502" s="3"/>
      <c r="BE502" s="3"/>
      <c r="BF502" s="3"/>
      <c r="BG502" s="3"/>
      <c r="BH502" s="3"/>
      <c r="BI502" s="3"/>
      <c r="BJ502" s="3"/>
      <c r="BK502" s="3"/>
      <c r="BL502" s="3"/>
      <c r="BM502" s="3"/>
      <c r="BN502" s="3"/>
    </row>
    <row r="503" spans="1:66" ht="12.9" customHeight="1">
      <c r="B503" s="1435" t="s">
        <v>408</v>
      </c>
      <c r="C503" s="1436"/>
      <c r="D503" s="1436"/>
      <c r="E503" s="1436"/>
      <c r="F503" s="1436"/>
      <c r="G503" s="1436"/>
      <c r="H503" s="1437"/>
      <c r="I503" s="42" t="s">
        <v>409</v>
      </c>
      <c r="J503" s="42"/>
      <c r="K503" s="42"/>
      <c r="L503" s="42"/>
      <c r="M503" s="42"/>
      <c r="N503" s="42"/>
      <c r="O503" s="42"/>
      <c r="P503" s="42"/>
      <c r="Q503" s="42"/>
      <c r="R503" s="42"/>
      <c r="S503" s="42"/>
      <c r="T503" s="42"/>
      <c r="U503" s="42"/>
      <c r="V503" s="42"/>
      <c r="W503" s="42"/>
      <c r="AC503" s="1428" t="s">
        <v>592</v>
      </c>
      <c r="AD503" s="1429"/>
      <c r="AE503" s="1429"/>
      <c r="AF503" s="1429"/>
      <c r="AG503" s="13" t="s">
        <v>403</v>
      </c>
      <c r="AH503" s="1458"/>
      <c r="AI503" s="1458"/>
      <c r="AJ503" s="1458"/>
      <c r="AK503" s="1459"/>
      <c r="AZ503" s="3"/>
      <c r="BA503" s="3"/>
      <c r="BB503" s="3"/>
      <c r="BC503" s="3"/>
      <c r="BD503" s="3"/>
      <c r="BE503" s="3"/>
      <c r="BF503" s="3"/>
      <c r="BG503" s="3"/>
      <c r="BH503" s="3"/>
      <c r="BI503" s="3"/>
      <c r="BJ503" s="3"/>
      <c r="BK503" s="3"/>
      <c r="BL503" s="3"/>
      <c r="BM503" s="3"/>
      <c r="BN503" s="3"/>
    </row>
    <row r="504" spans="1:66" ht="12.9" customHeight="1">
      <c r="B504" s="1438"/>
      <c r="C504" s="1439"/>
      <c r="D504" s="1439"/>
      <c r="E504" s="1439"/>
      <c r="F504" s="1439"/>
      <c r="G504" s="1439"/>
      <c r="H504" s="1440"/>
      <c r="I504" t="s">
        <v>410</v>
      </c>
      <c r="AC504" s="1428" t="s">
        <v>592</v>
      </c>
      <c r="AD504" s="1429"/>
      <c r="AE504" s="1429"/>
      <c r="AF504" s="1429"/>
      <c r="AG504" s="13" t="s">
        <v>403</v>
      </c>
      <c r="AH504" s="1458"/>
      <c r="AI504" s="1458"/>
      <c r="AJ504" s="1458"/>
      <c r="AK504" s="1459"/>
      <c r="AZ504" s="3"/>
      <c r="BA504" s="3"/>
      <c r="BB504" s="3"/>
      <c r="BC504" s="3"/>
      <c r="BD504" s="3"/>
      <c r="BE504" s="3"/>
      <c r="BF504" s="3"/>
      <c r="BG504" s="3"/>
      <c r="BH504" s="3"/>
      <c r="BI504" s="3"/>
      <c r="BJ504" s="3"/>
      <c r="BK504" s="3"/>
      <c r="BL504" s="3"/>
      <c r="BM504" s="3"/>
      <c r="BN504" s="3"/>
    </row>
    <row r="505" spans="1:66" ht="12.9" customHeight="1">
      <c r="B505" s="1438"/>
      <c r="C505" s="1439"/>
      <c r="D505" s="1439"/>
      <c r="E505" s="1439"/>
      <c r="F505" s="1439"/>
      <c r="G505" s="1439"/>
      <c r="H505" s="1440"/>
      <c r="I505" t="s">
        <v>411</v>
      </c>
      <c r="AC505" s="1428">
        <v>6</v>
      </c>
      <c r="AD505" s="1429"/>
      <c r="AE505" s="1429"/>
      <c r="AF505" s="1429"/>
      <c r="AG505" s="13" t="s">
        <v>403</v>
      </c>
      <c r="AH505" s="1458">
        <v>2025</v>
      </c>
      <c r="AI505" s="1458"/>
      <c r="AJ505" s="1458"/>
      <c r="AK505" s="1459"/>
      <c r="AZ505" s="3"/>
      <c r="BA505" s="3"/>
      <c r="BB505" s="3"/>
      <c r="BC505" s="3"/>
      <c r="BD505" s="3"/>
      <c r="BE505" s="3"/>
      <c r="BF505" s="3"/>
      <c r="BG505" s="3"/>
      <c r="BH505" s="3"/>
      <c r="BI505" s="3"/>
      <c r="BJ505" s="3"/>
      <c r="BK505" s="3"/>
      <c r="BL505" s="3"/>
      <c r="BM505" s="3"/>
      <c r="BN505" s="3"/>
    </row>
    <row r="506" spans="1:66" ht="12.9" customHeight="1">
      <c r="B506" s="1438"/>
      <c r="C506" s="1439"/>
      <c r="D506" s="1439"/>
      <c r="E506" s="1439"/>
      <c r="F506" s="1439"/>
      <c r="G506" s="1439"/>
      <c r="H506" s="1440"/>
      <c r="I506" t="s">
        <v>412</v>
      </c>
      <c r="AC506" s="1428" t="s">
        <v>592</v>
      </c>
      <c r="AD506" s="1429"/>
      <c r="AE506" s="1429"/>
      <c r="AF506" s="1429"/>
      <c r="AG506" s="13" t="s">
        <v>403</v>
      </c>
      <c r="AH506" s="1458"/>
      <c r="AI506" s="1458"/>
      <c r="AJ506" s="1458"/>
      <c r="AK506" s="1459"/>
      <c r="AZ506" s="3"/>
      <c r="BA506" s="3"/>
      <c r="BB506" s="3"/>
      <c r="BC506" s="3"/>
      <c r="BD506" s="3"/>
      <c r="BE506" s="3"/>
      <c r="BF506" s="3"/>
      <c r="BG506" s="3"/>
      <c r="BH506" s="3"/>
      <c r="BI506" s="3"/>
      <c r="BJ506" s="3"/>
      <c r="BK506" s="3"/>
      <c r="BL506" s="3"/>
      <c r="BM506" s="3"/>
      <c r="BN506" s="3"/>
    </row>
    <row r="507" spans="1:66" ht="12.9" customHeight="1">
      <c r="B507" s="1438"/>
      <c r="C507" s="1439"/>
      <c r="D507" s="1439"/>
      <c r="E507" s="1439"/>
      <c r="F507" s="1439"/>
      <c r="G507" s="1439"/>
      <c r="H507" s="1440"/>
      <c r="I507" s="3" t="s">
        <v>413</v>
      </c>
      <c r="AC507" s="1397">
        <v>11</v>
      </c>
      <c r="AD507" s="1398"/>
      <c r="AE507" s="1398"/>
      <c r="AF507" s="1398"/>
      <c r="AG507" s="13" t="s">
        <v>403</v>
      </c>
      <c r="AH507" s="1458">
        <v>2025</v>
      </c>
      <c r="AI507" s="1458"/>
      <c r="AJ507" s="1458"/>
      <c r="AK507" s="1459"/>
      <c r="AZ507" s="3"/>
      <c r="BA507" s="3"/>
      <c r="BB507" s="3"/>
      <c r="BC507" s="3"/>
      <c r="BD507" s="3"/>
      <c r="BE507" s="3"/>
      <c r="BF507" s="3"/>
      <c r="BG507" s="3"/>
      <c r="BH507" s="3"/>
      <c r="BI507" s="3"/>
      <c r="BJ507" s="3"/>
      <c r="BK507" s="3"/>
      <c r="BL507" s="3"/>
      <c r="BM507" s="3"/>
      <c r="BN507" s="3"/>
    </row>
    <row r="508" spans="1:66" ht="12.9" customHeight="1">
      <c r="B508" s="1438"/>
      <c r="C508" s="1439"/>
      <c r="D508" s="1439"/>
      <c r="E508" s="1439"/>
      <c r="F508" s="1439"/>
      <c r="G508" s="1439"/>
      <c r="H508" s="1440"/>
      <c r="I508" s="896" t="s">
        <v>170</v>
      </c>
      <c r="J508" s="48"/>
      <c r="K508" s="48"/>
      <c r="L508" s="1464" t="s">
        <v>334</v>
      </c>
      <c r="M508" s="1465"/>
      <c r="N508" s="1465"/>
      <c r="O508" s="1465"/>
      <c r="P508" s="1465"/>
      <c r="Q508" s="1465"/>
      <c r="R508" s="1465"/>
      <c r="S508" s="1465"/>
      <c r="T508" s="1465"/>
      <c r="U508" s="1465"/>
      <c r="V508" s="1465"/>
      <c r="W508" s="1465"/>
      <c r="X508" s="1465"/>
      <c r="Y508" s="1465"/>
      <c r="Z508" s="1465"/>
      <c r="AA508" s="1465"/>
      <c r="AB508" s="1468"/>
      <c r="AC508" s="1428" t="s">
        <v>592</v>
      </c>
      <c r="AD508" s="1429"/>
      <c r="AE508" s="1429"/>
      <c r="AF508" s="1429"/>
      <c r="AG508" s="38" t="s">
        <v>403</v>
      </c>
      <c r="AH508" s="1458"/>
      <c r="AI508" s="1458"/>
      <c r="AJ508" s="1458"/>
      <c r="AK508" s="1459"/>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1676</v>
      </c>
      <c r="AC509" s="1424" t="s">
        <v>670</v>
      </c>
      <c r="AD509" s="1424"/>
      <c r="AE509" s="1424"/>
      <c r="AF509" s="1424"/>
      <c r="AG509" s="13"/>
      <c r="AH509" s="1444"/>
      <c r="AI509" s="1444"/>
      <c r="AJ509" s="1444"/>
      <c r="AK509" s="1445"/>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1673</v>
      </c>
      <c r="AC510" s="1397"/>
      <c r="AD510" s="1398"/>
      <c r="AE510" s="1398"/>
      <c r="AF510" s="1399"/>
      <c r="AG510" s="13"/>
      <c r="AH510" s="1444"/>
      <c r="AI510" s="1444"/>
      <c r="AJ510" s="1444"/>
      <c r="AK510" s="1445"/>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80">
        <v>0.4</v>
      </c>
      <c r="AD512" s="1481"/>
      <c r="AE512" s="1481"/>
      <c r="AF512" s="1482"/>
      <c r="AG512" s="38"/>
      <c r="AH512" s="1608"/>
      <c r="AI512" s="1608"/>
      <c r="AJ512" s="1608"/>
      <c r="AK512" s="1609"/>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11" t="s">
        <v>402</v>
      </c>
      <c r="AD513" s="1466"/>
      <c r="AE513" s="1466"/>
      <c r="AF513" s="1466"/>
      <c r="AG513" s="38" t="s">
        <v>403</v>
      </c>
      <c r="AH513" s="1466" t="s">
        <v>404</v>
      </c>
      <c r="AI513" s="1466"/>
      <c r="AJ513" s="1466"/>
      <c r="AK513" s="1467"/>
      <c r="AZ513" s="3"/>
      <c r="BA513" s="3"/>
      <c r="BB513" s="3"/>
      <c r="BC513" s="3"/>
      <c r="BD513" s="3"/>
      <c r="BE513" s="3"/>
      <c r="BF513" s="3"/>
      <c r="BG513" s="3"/>
      <c r="BH513" s="3"/>
      <c r="BI513" s="3"/>
      <c r="BJ513" s="3"/>
      <c r="BK513" s="3"/>
      <c r="BL513" s="3"/>
      <c r="BM513" s="3"/>
      <c r="BN513" s="3" t="s">
        <v>2105</v>
      </c>
    </row>
    <row r="514" spans="2:66" ht="12.9" customHeight="1">
      <c r="B514" s="1435" t="s">
        <v>414</v>
      </c>
      <c r="C514" s="1436"/>
      <c r="D514" s="1436"/>
      <c r="E514" s="1436"/>
      <c r="F514" s="1436"/>
      <c r="G514" s="1436"/>
      <c r="H514" s="1437"/>
      <c r="I514" s="42" t="s">
        <v>415</v>
      </c>
      <c r="J514" s="42"/>
      <c r="K514" s="42"/>
      <c r="L514" s="42"/>
      <c r="M514" s="42"/>
      <c r="N514" s="42"/>
      <c r="O514" s="42"/>
      <c r="P514" s="42"/>
      <c r="Q514" s="42"/>
      <c r="R514" s="42"/>
      <c r="S514" s="42"/>
      <c r="T514" s="42"/>
      <c r="U514" s="42"/>
      <c r="V514" s="42"/>
      <c r="W514" s="42"/>
      <c r="AC514" s="1428">
        <v>9</v>
      </c>
      <c r="AD514" s="1429"/>
      <c r="AE514" s="1429"/>
      <c r="AF514" s="1429"/>
      <c r="AG514" s="13" t="s">
        <v>403</v>
      </c>
      <c r="AH514" s="1458">
        <v>2025</v>
      </c>
      <c r="AI514" s="1458"/>
      <c r="AJ514" s="1458"/>
      <c r="AK514" s="1459"/>
      <c r="AZ514" s="3"/>
      <c r="BA514" s="3"/>
      <c r="BB514" s="3"/>
      <c r="BC514" s="3"/>
      <c r="BD514" s="3"/>
      <c r="BE514" s="3"/>
      <c r="BF514" s="3"/>
      <c r="BG514" s="3"/>
      <c r="BH514" s="3"/>
      <c r="BI514" s="3"/>
      <c r="BJ514" s="3"/>
      <c r="BK514" s="3"/>
      <c r="BL514" s="3"/>
      <c r="BM514" s="3"/>
      <c r="BN514" s="3" t="s">
        <v>2106</v>
      </c>
    </row>
    <row r="515" spans="2:66" ht="12.9" customHeight="1">
      <c r="B515" s="1438"/>
      <c r="C515" s="1439"/>
      <c r="D515" s="1439"/>
      <c r="E515" s="1439"/>
      <c r="F515" s="1439"/>
      <c r="G515" s="1439"/>
      <c r="H515" s="1440"/>
      <c r="I515" t="s">
        <v>416</v>
      </c>
      <c r="AC515" s="1428">
        <v>9</v>
      </c>
      <c r="AD515" s="1429"/>
      <c r="AE515" s="1429"/>
      <c r="AF515" s="1429"/>
      <c r="AG515" s="13" t="s">
        <v>403</v>
      </c>
      <c r="AH515" s="1458">
        <v>2025</v>
      </c>
      <c r="AI515" s="1458"/>
      <c r="AJ515" s="1458"/>
      <c r="AK515" s="1459"/>
      <c r="AZ515" s="3"/>
      <c r="BA515" s="3"/>
      <c r="BB515" s="3"/>
      <c r="BC515" s="3"/>
      <c r="BD515" s="3"/>
      <c r="BE515" s="3"/>
      <c r="BF515" s="3"/>
      <c r="BG515" s="3"/>
      <c r="BH515" s="3"/>
      <c r="BI515" s="3"/>
      <c r="BJ515" s="3"/>
      <c r="BK515" s="3"/>
      <c r="BL515" s="3"/>
      <c r="BM515" s="3"/>
      <c r="BN515" s="3" t="s">
        <v>2107</v>
      </c>
    </row>
    <row r="516" spans="2:66" ht="12.9" customHeight="1">
      <c r="B516" s="1438"/>
      <c r="C516" s="1439"/>
      <c r="D516" s="1439"/>
      <c r="E516" s="1439"/>
      <c r="F516" s="1439"/>
      <c r="G516" s="1439"/>
      <c r="H516" s="1440"/>
      <c r="I516" s="48" t="s">
        <v>417</v>
      </c>
      <c r="J516" s="48"/>
      <c r="K516" s="48"/>
      <c r="L516" s="48"/>
      <c r="M516" s="48"/>
      <c r="N516" s="48"/>
      <c r="O516" s="48"/>
      <c r="P516" s="48"/>
      <c r="Q516" s="48"/>
      <c r="R516" s="48"/>
      <c r="S516" s="48"/>
      <c r="T516" s="48"/>
      <c r="U516" s="48"/>
      <c r="V516" s="48"/>
      <c r="W516" s="48"/>
      <c r="X516" s="48"/>
      <c r="Y516" s="48"/>
      <c r="Z516" s="48"/>
      <c r="AA516" s="48"/>
      <c r="AB516" s="48"/>
      <c r="AC516" s="1428">
        <v>5</v>
      </c>
      <c r="AD516" s="1429"/>
      <c r="AE516" s="1429"/>
      <c r="AF516" s="1429"/>
      <c r="AG516" s="38" t="s">
        <v>403</v>
      </c>
      <c r="AH516" s="1458">
        <v>2026</v>
      </c>
      <c r="AI516" s="1458"/>
      <c r="AJ516" s="1458"/>
      <c r="AK516" s="1459"/>
      <c r="AZ516" s="3"/>
      <c r="BA516" s="3"/>
      <c r="BB516" s="3"/>
      <c r="BC516" s="3"/>
      <c r="BD516" s="3"/>
      <c r="BE516" s="3"/>
      <c r="BF516" s="3"/>
      <c r="BG516" s="3"/>
      <c r="BH516" s="3"/>
      <c r="BI516" s="3"/>
      <c r="BJ516" s="3"/>
      <c r="BK516" s="3"/>
      <c r="BL516" s="3"/>
      <c r="BM516" s="3"/>
      <c r="BN516" s="3" t="s">
        <v>2108</v>
      </c>
    </row>
    <row r="517" spans="2:66" ht="12.9" customHeight="1">
      <c r="B517" s="1435" t="s">
        <v>418</v>
      </c>
      <c r="C517" s="1436"/>
      <c r="D517" s="1436"/>
      <c r="E517" s="1436"/>
      <c r="F517" s="1436"/>
      <c r="G517" s="1436"/>
      <c r="H517" s="1437"/>
      <c r="I517" s="42" t="s">
        <v>415</v>
      </c>
      <c r="J517" s="42"/>
      <c r="K517" s="42"/>
      <c r="L517" s="42"/>
      <c r="M517" s="42"/>
      <c r="N517" s="42"/>
      <c r="O517" s="42"/>
      <c r="P517" s="42"/>
      <c r="Q517" s="42"/>
      <c r="R517" s="42"/>
      <c r="S517" s="42"/>
      <c r="T517" s="42"/>
      <c r="U517" s="42"/>
      <c r="V517" s="42"/>
      <c r="W517" s="42"/>
      <c r="X517" s="42"/>
      <c r="Y517" s="42"/>
      <c r="Z517" s="42"/>
      <c r="AA517" s="42"/>
      <c r="AB517" s="42"/>
      <c r="AC517" s="1397">
        <v>9</v>
      </c>
      <c r="AD517" s="1398"/>
      <c r="AE517" s="1398"/>
      <c r="AF517" s="1398"/>
      <c r="AG517" s="129" t="s">
        <v>403</v>
      </c>
      <c r="AH517" s="1458">
        <v>2025</v>
      </c>
      <c r="AI517" s="1458"/>
      <c r="AJ517" s="1458"/>
      <c r="AK517" s="1459"/>
      <c r="AZ517" s="3"/>
      <c r="BB517" s="3"/>
      <c r="BC517" s="3"/>
      <c r="BD517" s="3"/>
      <c r="BE517" s="3"/>
      <c r="BF517" s="3"/>
      <c r="BG517" s="3"/>
      <c r="BH517" s="3"/>
      <c r="BI517" s="3"/>
      <c r="BJ517" s="3"/>
      <c r="BK517" s="3"/>
      <c r="BL517" s="3"/>
      <c r="BM517" s="3"/>
      <c r="BN517" s="3" t="s">
        <v>2109</v>
      </c>
    </row>
    <row r="518" spans="2:66" ht="12.9" customHeight="1">
      <c r="B518" s="1438"/>
      <c r="C518" s="1439"/>
      <c r="D518" s="1439"/>
      <c r="E518" s="1439"/>
      <c r="F518" s="1439"/>
      <c r="G518" s="1439"/>
      <c r="H518" s="1440"/>
      <c r="I518" t="s">
        <v>416</v>
      </c>
      <c r="AC518" s="1428">
        <v>9</v>
      </c>
      <c r="AD518" s="1429"/>
      <c r="AE518" s="1429"/>
      <c r="AF518" s="1429"/>
      <c r="AG518" s="13" t="s">
        <v>403</v>
      </c>
      <c r="AH518" s="1458">
        <v>2025</v>
      </c>
      <c r="AI518" s="1458"/>
      <c r="AJ518" s="1458"/>
      <c r="AK518" s="1459"/>
      <c r="BB518" s="3"/>
      <c r="BC518" s="3"/>
      <c r="BD518" s="3"/>
      <c r="BE518" s="3"/>
      <c r="BF518" s="3"/>
      <c r="BG518" s="3"/>
      <c r="BH518" s="3"/>
      <c r="BI518" s="3"/>
      <c r="BJ518" s="3"/>
      <c r="BK518" s="3"/>
      <c r="BL518" s="3"/>
      <c r="BM518" s="3"/>
      <c r="BN518" s="3" t="s">
        <v>2110</v>
      </c>
    </row>
    <row r="519" spans="2:66" ht="12.9" customHeight="1">
      <c r="B519" s="1441"/>
      <c r="C519" s="1442"/>
      <c r="D519" s="1442"/>
      <c r="E519" s="1442"/>
      <c r="F519" s="1442"/>
      <c r="G519" s="1442"/>
      <c r="H519" s="1443"/>
      <c r="I519" s="48" t="s">
        <v>417</v>
      </c>
      <c r="J519" s="48"/>
      <c r="K519" s="48"/>
      <c r="L519" s="48"/>
      <c r="M519" s="48"/>
      <c r="N519" s="48"/>
      <c r="O519" s="48"/>
      <c r="P519" s="48"/>
      <c r="Q519" s="48"/>
      <c r="R519" s="48"/>
      <c r="S519" s="48"/>
      <c r="T519" s="48"/>
      <c r="U519" s="48"/>
      <c r="V519" s="48"/>
      <c r="W519" s="48"/>
      <c r="X519" s="48"/>
      <c r="Y519" s="48"/>
      <c r="Z519" s="48"/>
      <c r="AA519" s="48"/>
      <c r="AB519" s="48"/>
      <c r="AC519" s="1428">
        <v>5</v>
      </c>
      <c r="AD519" s="1429"/>
      <c r="AE519" s="1429"/>
      <c r="AF519" s="1429"/>
      <c r="AG519" s="38" t="s">
        <v>403</v>
      </c>
      <c r="AH519" s="1458">
        <v>2026</v>
      </c>
      <c r="AI519" s="1458"/>
      <c r="AJ519" s="1458"/>
      <c r="AK519" s="1459"/>
      <c r="BB519" s="3"/>
      <c r="BC519" s="3"/>
      <c r="BD519" s="3"/>
      <c r="BE519" s="3"/>
      <c r="BF519" s="3"/>
      <c r="BG519" s="3"/>
      <c r="BH519" s="3"/>
      <c r="BI519" s="3"/>
      <c r="BJ519" s="3"/>
      <c r="BK519" s="3"/>
      <c r="BL519" s="3"/>
      <c r="BM519" s="3"/>
      <c r="BN519" s="3" t="s">
        <v>2111</v>
      </c>
    </row>
    <row r="520" spans="2:66" ht="12.9" customHeight="1">
      <c r="B520" s="1435" t="s">
        <v>419</v>
      </c>
      <c r="C520" s="1436"/>
      <c r="D520" s="1436"/>
      <c r="E520" s="1436"/>
      <c r="F520" s="1436"/>
      <c r="G520" s="1436"/>
      <c r="H520" s="1437"/>
      <c r="I520" s="41" t="s">
        <v>420</v>
      </c>
      <c r="J520" s="42"/>
      <c r="K520" s="42"/>
      <c r="L520" s="42"/>
      <c r="M520" s="42"/>
      <c r="N520" s="42"/>
      <c r="O520" s="1464" t="s">
        <v>2736</v>
      </c>
      <c r="P520" s="1465"/>
      <c r="Q520" s="1465"/>
      <c r="R520" s="1465"/>
      <c r="S520" s="1465"/>
      <c r="T520" s="1465"/>
      <c r="U520" s="1465"/>
      <c r="V520" s="1465"/>
      <c r="W520" s="1465"/>
      <c r="X520" s="1465"/>
      <c r="Y520" s="1465"/>
      <c r="Z520" s="1465"/>
      <c r="AA520" s="1465"/>
      <c r="AB520" s="58"/>
      <c r="AC520" s="1397" t="s">
        <v>592</v>
      </c>
      <c r="AD520" s="1398"/>
      <c r="AE520" s="1398"/>
      <c r="AF520" s="1398"/>
      <c r="AG520" s="129" t="s">
        <v>403</v>
      </c>
      <c r="AH520" s="1458"/>
      <c r="AI520" s="1458"/>
      <c r="AJ520" s="1458"/>
      <c r="AK520" s="1459"/>
      <c r="AZ520" s="3"/>
      <c r="BB520" s="3"/>
      <c r="BC520" s="3"/>
      <c r="BD520" s="3"/>
      <c r="BE520" s="3"/>
      <c r="BF520" s="3"/>
      <c r="BG520" s="3"/>
      <c r="BH520" s="3"/>
      <c r="BI520" s="3"/>
      <c r="BJ520" s="3"/>
      <c r="BK520" s="3"/>
      <c r="BL520" s="3"/>
      <c r="BM520" s="3"/>
      <c r="BN520" s="3" t="s">
        <v>2112</v>
      </c>
    </row>
    <row r="521" spans="2:66" ht="12.9" customHeight="1">
      <c r="B521" s="1438"/>
      <c r="C521" s="1439"/>
      <c r="D521" s="1439"/>
      <c r="E521" s="1439"/>
      <c r="F521" s="1439"/>
      <c r="G521" s="1439"/>
      <c r="H521" s="1440"/>
      <c r="I521" s="114" t="s">
        <v>421</v>
      </c>
      <c r="AB521" s="65"/>
      <c r="AC521" s="1428">
        <v>2</v>
      </c>
      <c r="AD521" s="1429"/>
      <c r="AE521" s="1429"/>
      <c r="AF521" s="1429"/>
      <c r="AG521" s="13" t="s">
        <v>403</v>
      </c>
      <c r="AH521" s="1458">
        <v>2025</v>
      </c>
      <c r="AI521" s="1458"/>
      <c r="AJ521" s="1458"/>
      <c r="AK521" s="1459"/>
      <c r="AZ521" s="3"/>
      <c r="BB521" s="3"/>
      <c r="BC521" s="3"/>
      <c r="BD521" s="3"/>
      <c r="BE521" s="3"/>
      <c r="BF521" s="3"/>
      <c r="BG521" s="3"/>
      <c r="BH521" s="3"/>
      <c r="BI521" s="3"/>
      <c r="BJ521" s="3"/>
      <c r="BK521" s="3"/>
      <c r="BL521" s="3"/>
      <c r="BM521" s="3"/>
      <c r="BN521" s="3" t="s">
        <v>2113</v>
      </c>
    </row>
    <row r="522" spans="2:66" ht="12.9" customHeight="1">
      <c r="B522" s="1438"/>
      <c r="C522" s="1439"/>
      <c r="D522" s="1439"/>
      <c r="E522" s="1439"/>
      <c r="F522" s="1439"/>
      <c r="G522" s="1439"/>
      <c r="H522" s="1440"/>
      <c r="I522" s="47" t="s">
        <v>422</v>
      </c>
      <c r="J522" s="48"/>
      <c r="K522" s="48"/>
      <c r="L522" s="48"/>
      <c r="M522" s="48"/>
      <c r="N522" s="48"/>
      <c r="O522" s="48"/>
      <c r="P522" s="48"/>
      <c r="Q522" s="48"/>
      <c r="R522" s="48"/>
      <c r="S522" s="48"/>
      <c r="T522" s="48"/>
      <c r="U522" s="48"/>
      <c r="V522" s="48"/>
      <c r="W522" s="48"/>
      <c r="X522" s="48"/>
      <c r="Y522" s="48"/>
      <c r="Z522" s="48"/>
      <c r="AA522" s="48"/>
      <c r="AB522" s="49"/>
      <c r="AC522" s="1428">
        <v>4</v>
      </c>
      <c r="AD522" s="1429"/>
      <c r="AE522" s="1429"/>
      <c r="AF522" s="1429"/>
      <c r="AG522" s="38" t="s">
        <v>403</v>
      </c>
      <c r="AH522" s="1458">
        <v>2025</v>
      </c>
      <c r="AI522" s="1458"/>
      <c r="AJ522" s="1458"/>
      <c r="AK522" s="1459"/>
      <c r="AZ522" s="3"/>
      <c r="BA522" s="3"/>
      <c r="BB522" s="3"/>
      <c r="BC522" s="3"/>
      <c r="BD522" s="3"/>
      <c r="BE522" s="3"/>
      <c r="BF522" s="3"/>
      <c r="BG522" s="3"/>
      <c r="BH522" s="3"/>
      <c r="BI522" s="3"/>
      <c r="BJ522" s="3"/>
      <c r="BK522" s="3"/>
      <c r="BL522" s="3"/>
      <c r="BM522" s="3"/>
      <c r="BN522" s="3" t="s">
        <v>2114</v>
      </c>
    </row>
    <row r="523" spans="2:66" ht="12.9" customHeight="1">
      <c r="B523" s="1438"/>
      <c r="C523" s="1439"/>
      <c r="D523" s="1439"/>
      <c r="E523" s="1439"/>
      <c r="F523" s="1439"/>
      <c r="G523" s="1439"/>
      <c r="H523" s="1440"/>
      <c r="I523" s="42" t="s">
        <v>423</v>
      </c>
      <c r="J523" s="42"/>
      <c r="K523" s="42"/>
      <c r="L523" s="42"/>
      <c r="M523" s="42"/>
      <c r="N523" s="42"/>
      <c r="O523" s="1464" t="s">
        <v>2737</v>
      </c>
      <c r="P523" s="1465"/>
      <c r="Q523" s="1465"/>
      <c r="R523" s="1465"/>
      <c r="S523" s="1465"/>
      <c r="T523" s="1465"/>
      <c r="U523" s="1465"/>
      <c r="V523" s="1465"/>
      <c r="W523" s="1465"/>
      <c r="X523" s="1465"/>
      <c r="Y523" s="1465"/>
      <c r="Z523" s="1465"/>
      <c r="AA523" s="1465"/>
      <c r="AC523" s="1428" t="s">
        <v>592</v>
      </c>
      <c r="AD523" s="1429"/>
      <c r="AE523" s="1429"/>
      <c r="AF523" s="1429"/>
      <c r="AG523" s="13" t="s">
        <v>403</v>
      </c>
      <c r="AH523" s="1458"/>
      <c r="AI523" s="1458"/>
      <c r="AJ523" s="1458"/>
      <c r="AK523" s="1459"/>
      <c r="AZ523" s="3"/>
      <c r="BA523" s="3"/>
      <c r="BB523" s="3"/>
      <c r="BC523" s="3"/>
      <c r="BD523" s="3"/>
      <c r="BE523" s="3"/>
      <c r="BF523" s="3"/>
      <c r="BG523" s="3"/>
      <c r="BH523" s="3"/>
      <c r="BI523" s="3"/>
      <c r="BJ523" s="3"/>
      <c r="BK523" s="3"/>
      <c r="BL523" s="3"/>
      <c r="BM523" s="3"/>
      <c r="BN523" s="3" t="s">
        <v>2115</v>
      </c>
    </row>
    <row r="524" spans="2:66" ht="12.9" customHeight="1">
      <c r="B524" s="1438"/>
      <c r="C524" s="1439"/>
      <c r="D524" s="1439"/>
      <c r="E524" s="1439"/>
      <c r="F524" s="1439"/>
      <c r="G524" s="1439"/>
      <c r="H524" s="1440"/>
      <c r="I524" t="s">
        <v>421</v>
      </c>
      <c r="AC524" s="1428">
        <v>2</v>
      </c>
      <c r="AD524" s="1429"/>
      <c r="AE524" s="1429"/>
      <c r="AF524" s="1429"/>
      <c r="AG524" s="13" t="s">
        <v>403</v>
      </c>
      <c r="AH524" s="1458">
        <v>2025</v>
      </c>
      <c r="AI524" s="1458"/>
      <c r="AJ524" s="1458"/>
      <c r="AK524" s="1459"/>
      <c r="AZ524" s="3"/>
      <c r="BA524" s="3"/>
      <c r="BB524" s="3"/>
      <c r="BC524" s="3"/>
      <c r="BD524" s="3"/>
      <c r="BE524" s="3"/>
      <c r="BF524" s="3"/>
      <c r="BG524" s="3"/>
      <c r="BH524" s="3"/>
      <c r="BI524" s="3"/>
      <c r="BJ524" s="3"/>
      <c r="BK524" s="3"/>
      <c r="BL524" s="3"/>
      <c r="BM524" s="3"/>
      <c r="BN524" s="3" t="s">
        <v>2116</v>
      </c>
    </row>
    <row r="525" spans="2:66" ht="12.9" customHeight="1">
      <c r="B525" s="1438"/>
      <c r="C525" s="1439"/>
      <c r="D525" s="1439"/>
      <c r="E525" s="1439"/>
      <c r="F525" s="1439"/>
      <c r="G525" s="1439"/>
      <c r="H525" s="1440"/>
      <c r="I525" s="48" t="s">
        <v>422</v>
      </c>
      <c r="J525" s="48"/>
      <c r="K525" s="48"/>
      <c r="L525" s="48"/>
      <c r="M525" s="48"/>
      <c r="N525" s="48"/>
      <c r="O525" s="48"/>
      <c r="P525" s="48"/>
      <c r="Q525" s="48"/>
      <c r="R525" s="48"/>
      <c r="S525" s="48"/>
      <c r="T525" s="48"/>
      <c r="U525" s="48"/>
      <c r="V525" s="48"/>
      <c r="W525" s="48"/>
      <c r="X525" s="48"/>
      <c r="Y525" s="48"/>
      <c r="Z525" s="48"/>
      <c r="AA525" s="48"/>
      <c r="AB525" s="48"/>
      <c r="AC525" s="1428">
        <v>3</v>
      </c>
      <c r="AD525" s="1429"/>
      <c r="AE525" s="1429"/>
      <c r="AF525" s="1429"/>
      <c r="AG525" s="38" t="s">
        <v>403</v>
      </c>
      <c r="AH525" s="1458">
        <v>2025</v>
      </c>
      <c r="AI525" s="1458"/>
      <c r="AJ525" s="1458"/>
      <c r="AK525" s="1459"/>
      <c r="AZ525" s="3"/>
      <c r="BA525" s="3"/>
      <c r="BB525" s="3"/>
      <c r="BC525" s="3"/>
      <c r="BD525" s="3"/>
      <c r="BE525" s="3"/>
      <c r="BF525" s="3"/>
      <c r="BG525" s="3"/>
      <c r="BH525" s="3"/>
      <c r="BI525" s="3"/>
      <c r="BJ525" s="3"/>
      <c r="BK525" s="3"/>
      <c r="BL525" s="3"/>
      <c r="BM525" s="3"/>
      <c r="BN525" s="3" t="s">
        <v>2117</v>
      </c>
    </row>
    <row r="526" spans="2:66" ht="12.9" customHeight="1">
      <c r="B526" s="1438"/>
      <c r="C526" s="1439"/>
      <c r="D526" s="1439"/>
      <c r="E526" s="1439"/>
      <c r="F526" s="1439"/>
      <c r="G526" s="1439"/>
      <c r="H526" s="1440"/>
      <c r="I526" s="42" t="s">
        <v>423</v>
      </c>
      <c r="J526" s="42"/>
      <c r="K526" s="42"/>
      <c r="L526" s="42"/>
      <c r="M526" s="42"/>
      <c r="N526" s="42"/>
      <c r="O526" s="1464" t="s">
        <v>2615</v>
      </c>
      <c r="P526" s="1465"/>
      <c r="Q526" s="1465"/>
      <c r="R526" s="1465"/>
      <c r="S526" s="1465"/>
      <c r="T526" s="1465"/>
      <c r="U526" s="1465"/>
      <c r="V526" s="1465"/>
      <c r="W526" s="1465"/>
      <c r="X526" s="1465"/>
      <c r="Y526" s="1465"/>
      <c r="Z526" s="1465"/>
      <c r="AA526" s="1465"/>
      <c r="AC526" s="1428" t="s">
        <v>592</v>
      </c>
      <c r="AD526" s="1429"/>
      <c r="AE526" s="1429"/>
      <c r="AF526" s="1429"/>
      <c r="AG526" s="13" t="s">
        <v>403</v>
      </c>
      <c r="AH526" s="1458"/>
      <c r="AI526" s="1458"/>
      <c r="AJ526" s="1458"/>
      <c r="AK526" s="1459"/>
      <c r="AZ526" s="3"/>
      <c r="BA526" s="3"/>
      <c r="BB526" s="3"/>
      <c r="BC526" s="3"/>
      <c r="BD526" s="3"/>
      <c r="BE526" s="3"/>
      <c r="BF526" s="3"/>
      <c r="BG526" s="3"/>
      <c r="BH526" s="3"/>
      <c r="BI526" s="3"/>
      <c r="BJ526" s="3"/>
      <c r="BK526" s="3"/>
      <c r="BL526" s="3"/>
      <c r="BM526" s="3"/>
      <c r="BN526" s="3" t="s">
        <v>2118</v>
      </c>
    </row>
    <row r="527" spans="2:66" ht="12.9" customHeight="1">
      <c r="B527" s="1438"/>
      <c r="C527" s="1439"/>
      <c r="D527" s="1439"/>
      <c r="E527" s="1439"/>
      <c r="F527" s="1439"/>
      <c r="G527" s="1439"/>
      <c r="H527" s="1440"/>
      <c r="I527" t="s">
        <v>421</v>
      </c>
      <c r="AC527" s="1428">
        <v>11</v>
      </c>
      <c r="AD527" s="1429"/>
      <c r="AE527" s="1429"/>
      <c r="AF527" s="1429"/>
      <c r="AG527" s="13" t="s">
        <v>403</v>
      </c>
      <c r="AH527" s="1458">
        <v>2024</v>
      </c>
      <c r="AI527" s="1458"/>
      <c r="AJ527" s="1458"/>
      <c r="AK527" s="1459"/>
      <c r="AZ527" s="3"/>
      <c r="BA527" s="3"/>
      <c r="BB527" s="3"/>
      <c r="BC527" s="3"/>
      <c r="BD527" s="3"/>
      <c r="BE527" s="3"/>
      <c r="BF527" s="3"/>
      <c r="BG527" s="3"/>
      <c r="BH527" s="3"/>
      <c r="BI527" s="3"/>
      <c r="BJ527" s="3"/>
      <c r="BK527" s="3"/>
      <c r="BL527" s="3"/>
      <c r="BM527" s="3"/>
      <c r="BN527" s="3" t="s">
        <v>2119</v>
      </c>
    </row>
    <row r="528" spans="2:66" ht="12.9" customHeight="1">
      <c r="B528" s="1438"/>
      <c r="C528" s="1439"/>
      <c r="D528" s="1439"/>
      <c r="E528" s="1439"/>
      <c r="F528" s="1439"/>
      <c r="G528" s="1439"/>
      <c r="H528" s="1440"/>
      <c r="I528" s="48" t="s">
        <v>422</v>
      </c>
      <c r="J528" s="48"/>
      <c r="K528" s="48"/>
      <c r="L528" s="48"/>
      <c r="M528" s="48"/>
      <c r="N528" s="48"/>
      <c r="O528" s="48"/>
      <c r="P528" s="48"/>
      <c r="Q528" s="48"/>
      <c r="R528" s="48"/>
      <c r="S528" s="48"/>
      <c r="T528" s="48"/>
      <c r="U528" s="48"/>
      <c r="V528" s="48"/>
      <c r="W528" s="48"/>
      <c r="X528" s="48"/>
      <c r="Y528" s="48"/>
      <c r="Z528" s="48"/>
      <c r="AA528" s="48"/>
      <c r="AB528" s="48"/>
      <c r="AC528" s="1428">
        <v>3</v>
      </c>
      <c r="AD528" s="1429"/>
      <c r="AE528" s="1429"/>
      <c r="AF528" s="1429"/>
      <c r="AG528" s="38" t="s">
        <v>403</v>
      </c>
      <c r="AH528" s="1458">
        <v>2025</v>
      </c>
      <c r="AI528" s="1458"/>
      <c r="AJ528" s="1458"/>
      <c r="AK528" s="1459"/>
      <c r="AZ528" s="3"/>
      <c r="BA528" s="3"/>
      <c r="BB528" s="3"/>
      <c r="BC528" s="3"/>
      <c r="BD528" s="3"/>
      <c r="BE528" s="3"/>
      <c r="BF528" s="3"/>
      <c r="BG528" s="3"/>
      <c r="BH528" s="3"/>
      <c r="BI528" s="3"/>
      <c r="BJ528" s="3"/>
      <c r="BK528" s="3"/>
      <c r="BL528" s="3"/>
      <c r="BM528" s="3"/>
      <c r="BN528" s="3" t="s">
        <v>2120</v>
      </c>
    </row>
    <row r="529" spans="1:66" ht="12.9" customHeight="1">
      <c r="B529" s="1438"/>
      <c r="C529" s="1439"/>
      <c r="D529" s="1439"/>
      <c r="E529" s="1439"/>
      <c r="F529" s="1439"/>
      <c r="G529" s="1439"/>
      <c r="H529" s="1440"/>
      <c r="I529" s="42" t="s">
        <v>423</v>
      </c>
      <c r="J529" s="42"/>
      <c r="K529" s="42"/>
      <c r="L529" s="42"/>
      <c r="M529" s="42"/>
      <c r="N529" s="42"/>
      <c r="O529" s="1464" t="s">
        <v>334</v>
      </c>
      <c r="P529" s="1465"/>
      <c r="Q529" s="1465"/>
      <c r="R529" s="1465"/>
      <c r="S529" s="1465"/>
      <c r="T529" s="1465"/>
      <c r="U529" s="1465"/>
      <c r="V529" s="1465"/>
      <c r="W529" s="1465"/>
      <c r="X529" s="1465"/>
      <c r="Y529" s="1465"/>
      <c r="Z529" s="1465"/>
      <c r="AA529" s="1465"/>
      <c r="AC529" s="1428" t="s">
        <v>592</v>
      </c>
      <c r="AD529" s="1429"/>
      <c r="AE529" s="1429"/>
      <c r="AF529" s="1429"/>
      <c r="AG529" s="13" t="s">
        <v>403</v>
      </c>
      <c r="AH529" s="1458"/>
      <c r="AI529" s="1458"/>
      <c r="AJ529" s="1458"/>
      <c r="AK529" s="1459"/>
      <c r="AZ529" s="3"/>
      <c r="BA529" s="3"/>
      <c r="BB529" s="3"/>
      <c r="BC529" s="3"/>
      <c r="BD529" s="3"/>
      <c r="BE529" s="3"/>
      <c r="BF529" s="3"/>
      <c r="BG529" s="3"/>
      <c r="BH529" s="3"/>
      <c r="BI529" s="3"/>
      <c r="BJ529" s="3"/>
      <c r="BK529" s="3"/>
      <c r="BL529" s="3"/>
      <c r="BM529" s="3"/>
      <c r="BN529" s="3" t="s">
        <v>2121</v>
      </c>
    </row>
    <row r="530" spans="1:66" ht="12.9" customHeight="1">
      <c r="B530" s="1438"/>
      <c r="C530" s="1439"/>
      <c r="D530" s="1439"/>
      <c r="E530" s="1439"/>
      <c r="F530" s="1439"/>
      <c r="G530" s="1439"/>
      <c r="H530" s="1440"/>
      <c r="I530" t="s">
        <v>421</v>
      </c>
      <c r="AC530" s="1428" t="s">
        <v>592</v>
      </c>
      <c r="AD530" s="1429"/>
      <c r="AE530" s="1429"/>
      <c r="AF530" s="1429"/>
      <c r="AG530" s="13" t="s">
        <v>403</v>
      </c>
      <c r="AH530" s="1458"/>
      <c r="AI530" s="1458"/>
      <c r="AJ530" s="1458"/>
      <c r="AK530" s="1459"/>
      <c r="AZ530" s="3"/>
      <c r="BA530" s="3"/>
      <c r="BB530" s="3"/>
      <c r="BC530" s="3"/>
      <c r="BD530" s="3"/>
      <c r="BE530" s="3"/>
      <c r="BF530" s="3"/>
      <c r="BG530" s="3"/>
      <c r="BH530" s="3"/>
      <c r="BI530" s="3"/>
      <c r="BJ530" s="3"/>
      <c r="BK530" s="3"/>
      <c r="BL530" s="3"/>
      <c r="BM530" s="3"/>
      <c r="BN530" s="3" t="s">
        <v>2122</v>
      </c>
    </row>
    <row r="531" spans="1:66" ht="12.9" customHeight="1">
      <c r="B531" s="1438"/>
      <c r="C531" s="1439"/>
      <c r="D531" s="1439"/>
      <c r="E531" s="1439"/>
      <c r="F531" s="1439"/>
      <c r="G531" s="1439"/>
      <c r="H531" s="1440"/>
      <c r="I531" s="48" t="s">
        <v>422</v>
      </c>
      <c r="J531" s="48"/>
      <c r="K531" s="48"/>
      <c r="L531" s="48"/>
      <c r="M531" s="48"/>
      <c r="N531" s="48"/>
      <c r="O531" s="48"/>
      <c r="P531" s="48"/>
      <c r="Q531" s="48"/>
      <c r="R531" s="48"/>
      <c r="S531" s="48"/>
      <c r="T531" s="48"/>
      <c r="U531" s="48"/>
      <c r="V531" s="48"/>
      <c r="W531" s="48"/>
      <c r="X531" s="48"/>
      <c r="Y531" s="48"/>
      <c r="Z531" s="48"/>
      <c r="AA531" s="48"/>
      <c r="AB531" s="48"/>
      <c r="AC531" s="1428" t="s">
        <v>592</v>
      </c>
      <c r="AD531" s="1429"/>
      <c r="AE531" s="1429"/>
      <c r="AF531" s="1429"/>
      <c r="AG531" s="38" t="s">
        <v>403</v>
      </c>
      <c r="AH531" s="1458"/>
      <c r="AI531" s="1458"/>
      <c r="AJ531" s="1458"/>
      <c r="AK531" s="1459"/>
      <c r="AZ531" s="3"/>
      <c r="BA531" s="3"/>
      <c r="BB531" s="3"/>
      <c r="BC531" s="3"/>
      <c r="BD531" s="3"/>
      <c r="BE531" s="3"/>
      <c r="BF531" s="3"/>
      <c r="BG531" s="3"/>
      <c r="BH531" s="3"/>
      <c r="BI531" s="3"/>
      <c r="BJ531" s="3"/>
      <c r="BK531" s="3"/>
      <c r="BL531" s="3"/>
      <c r="BM531" s="3"/>
      <c r="BN531" s="3" t="s">
        <v>2123</v>
      </c>
    </row>
    <row r="532" spans="1:66" ht="12.9" customHeight="1">
      <c r="B532" s="1438"/>
      <c r="C532" s="1439"/>
      <c r="D532" s="1439"/>
      <c r="E532" s="1439"/>
      <c r="F532" s="1439"/>
      <c r="G532" s="1439"/>
      <c r="H532" s="1440"/>
      <c r="I532" s="42" t="s">
        <v>423</v>
      </c>
      <c r="J532" s="42"/>
      <c r="K532" s="42"/>
      <c r="L532" s="42"/>
      <c r="M532" s="42"/>
      <c r="N532" s="42"/>
      <c r="O532" s="1464" t="s">
        <v>334</v>
      </c>
      <c r="P532" s="1465"/>
      <c r="Q532" s="1465"/>
      <c r="R532" s="1465"/>
      <c r="S532" s="1465"/>
      <c r="T532" s="1465"/>
      <c r="U532" s="1465"/>
      <c r="V532" s="1465"/>
      <c r="W532" s="1465"/>
      <c r="X532" s="1465"/>
      <c r="Y532" s="1465"/>
      <c r="Z532" s="1465"/>
      <c r="AA532" s="1465"/>
      <c r="AC532" s="1428" t="s">
        <v>592</v>
      </c>
      <c r="AD532" s="1429"/>
      <c r="AE532" s="1429"/>
      <c r="AF532" s="1429"/>
      <c r="AG532" s="13" t="s">
        <v>403</v>
      </c>
      <c r="AH532" s="1458"/>
      <c r="AI532" s="1458"/>
      <c r="AJ532" s="1458"/>
      <c r="AK532" s="1459"/>
      <c r="AZ532" s="3"/>
      <c r="BA532" s="3"/>
      <c r="BB532" s="3"/>
      <c r="BC532" s="3"/>
      <c r="BD532" s="3"/>
      <c r="BE532" s="3"/>
      <c r="BF532" s="3"/>
      <c r="BG532" s="3"/>
      <c r="BH532" s="3"/>
      <c r="BI532" s="3"/>
      <c r="BJ532" s="3"/>
      <c r="BK532" s="3"/>
      <c r="BL532" s="3"/>
      <c r="BM532" s="3"/>
      <c r="BN532" s="3" t="s">
        <v>2124</v>
      </c>
    </row>
    <row r="533" spans="1:66" ht="12.9" customHeight="1">
      <c r="B533" s="1438"/>
      <c r="C533" s="1439"/>
      <c r="D533" s="1439"/>
      <c r="E533" s="1439"/>
      <c r="F533" s="1439"/>
      <c r="G533" s="1439"/>
      <c r="H533" s="1440"/>
      <c r="I533" t="s">
        <v>421</v>
      </c>
      <c r="AC533" s="1428" t="s">
        <v>592</v>
      </c>
      <c r="AD533" s="1429"/>
      <c r="AE533" s="1429"/>
      <c r="AF533" s="1429"/>
      <c r="AG533" s="38" t="s">
        <v>403</v>
      </c>
      <c r="AH533" s="1458"/>
      <c r="AI533" s="1458"/>
      <c r="AJ533" s="1458"/>
      <c r="AK533" s="1459"/>
      <c r="AZ533" s="3"/>
      <c r="BA533" s="3"/>
      <c r="BB533" s="3"/>
      <c r="BC533" s="3"/>
      <c r="BD533" s="3"/>
      <c r="BE533" s="3"/>
      <c r="BF533" s="3"/>
      <c r="BG533" s="3"/>
      <c r="BH533" s="3"/>
      <c r="BI533" s="3"/>
      <c r="BJ533" s="3"/>
      <c r="BK533" s="3"/>
      <c r="BL533" s="3"/>
      <c r="BM533" s="3"/>
      <c r="BN533" s="3" t="s">
        <v>2125</v>
      </c>
    </row>
    <row r="534" spans="1:66" ht="12.9" customHeight="1">
      <c r="B534" s="1438"/>
      <c r="C534" s="1439"/>
      <c r="D534" s="1439"/>
      <c r="E534" s="1439"/>
      <c r="F534" s="1439"/>
      <c r="G534" s="1439"/>
      <c r="H534" s="1440"/>
      <c r="I534" s="48" t="s">
        <v>422</v>
      </c>
      <c r="J534" s="48"/>
      <c r="K534" s="48"/>
      <c r="L534" s="48"/>
      <c r="M534" s="48"/>
      <c r="N534" s="48"/>
      <c r="O534" s="48"/>
      <c r="P534" s="48"/>
      <c r="Q534" s="48"/>
      <c r="R534" s="48"/>
      <c r="S534" s="48"/>
      <c r="T534" s="48"/>
      <c r="U534" s="48"/>
      <c r="V534" s="48"/>
      <c r="W534" s="48"/>
      <c r="X534" s="48"/>
      <c r="Y534" s="48"/>
      <c r="Z534" s="48"/>
      <c r="AA534" s="48"/>
      <c r="AB534" s="48"/>
      <c r="AC534" s="1428" t="s">
        <v>592</v>
      </c>
      <c r="AD534" s="1429"/>
      <c r="AE534" s="1429"/>
      <c r="AF534" s="1429"/>
      <c r="AG534" s="13" t="s">
        <v>403</v>
      </c>
      <c r="AH534" s="1458"/>
      <c r="AI534" s="1458"/>
      <c r="AJ534" s="1458"/>
      <c r="AK534" s="1459"/>
      <c r="AZ534" s="3"/>
      <c r="BA534" s="3"/>
      <c r="BB534" s="3"/>
      <c r="BC534" s="3"/>
      <c r="BD534" s="3"/>
      <c r="BE534" s="3"/>
      <c r="BF534" s="3"/>
      <c r="BG534" s="3"/>
      <c r="BH534" s="3"/>
      <c r="BI534" s="3"/>
      <c r="BJ534" s="3"/>
      <c r="BK534" s="3"/>
      <c r="BL534" s="3"/>
      <c r="BM534" s="3"/>
      <c r="BN534" s="3" t="s">
        <v>2126</v>
      </c>
    </row>
    <row r="535" spans="1:66" ht="12.9" customHeight="1">
      <c r="B535" s="1438"/>
      <c r="C535" s="1439"/>
      <c r="D535" s="1439"/>
      <c r="E535" s="1439"/>
      <c r="F535" s="1439"/>
      <c r="G535" s="1439"/>
      <c r="H535" s="1440"/>
      <c r="I535" s="42" t="s">
        <v>423</v>
      </c>
      <c r="J535" s="42"/>
      <c r="K535" s="42"/>
      <c r="L535" s="42"/>
      <c r="M535" s="42"/>
      <c r="N535" s="42"/>
      <c r="O535" s="1464" t="s">
        <v>334</v>
      </c>
      <c r="P535" s="1465"/>
      <c r="Q535" s="1465"/>
      <c r="R535" s="1465"/>
      <c r="S535" s="1465"/>
      <c r="T535" s="1465"/>
      <c r="U535" s="1465"/>
      <c r="V535" s="1465"/>
      <c r="W535" s="1465"/>
      <c r="X535" s="1465"/>
      <c r="Y535" s="1465"/>
      <c r="Z535" s="1465"/>
      <c r="AA535" s="1465"/>
      <c r="AC535" s="1428" t="s">
        <v>592</v>
      </c>
      <c r="AD535" s="1429"/>
      <c r="AE535" s="1429"/>
      <c r="AF535" s="1429"/>
      <c r="AG535" s="38" t="s">
        <v>403</v>
      </c>
      <c r="AH535" s="1458"/>
      <c r="AI535" s="1458"/>
      <c r="AJ535" s="1458"/>
      <c r="AK535" s="1459"/>
      <c r="AZ535" s="3"/>
      <c r="BA535" s="3"/>
      <c r="BB535" s="3"/>
      <c r="BC535" s="3"/>
      <c r="BD535" s="3"/>
      <c r="BE535" s="3"/>
      <c r="BF535" s="3"/>
      <c r="BG535" s="3"/>
      <c r="BH535" s="3"/>
      <c r="BI535" s="3"/>
      <c r="BJ535" s="3"/>
      <c r="BK535" s="3"/>
      <c r="BL535" s="3"/>
      <c r="BM535" s="3"/>
      <c r="BN535" s="3" t="s">
        <v>2127</v>
      </c>
    </row>
    <row r="536" spans="1:66" ht="12.9" customHeight="1">
      <c r="B536" s="1438"/>
      <c r="C536" s="1439"/>
      <c r="D536" s="1439"/>
      <c r="E536" s="1439"/>
      <c r="F536" s="1439"/>
      <c r="G536" s="1439"/>
      <c r="H536" s="1440"/>
      <c r="I536" t="s">
        <v>421</v>
      </c>
      <c r="AC536" s="1428" t="s">
        <v>592</v>
      </c>
      <c r="AD536" s="1429"/>
      <c r="AE536" s="1429"/>
      <c r="AF536" s="1429"/>
      <c r="AG536" s="13" t="s">
        <v>403</v>
      </c>
      <c r="AH536" s="1458"/>
      <c r="AI536" s="1458"/>
      <c r="AJ536" s="1458"/>
      <c r="AK536" s="1459"/>
      <c r="AZ536" s="3"/>
      <c r="BA536" s="3"/>
      <c r="BB536" s="3"/>
      <c r="BC536" s="3"/>
      <c r="BD536" s="3"/>
      <c r="BE536" s="3"/>
      <c r="BF536" s="3"/>
      <c r="BG536" s="3"/>
      <c r="BH536" s="3"/>
      <c r="BI536" s="3"/>
      <c r="BJ536" s="3"/>
      <c r="BK536" s="3"/>
      <c r="BL536" s="3"/>
      <c r="BM536" s="3"/>
      <c r="BN536" s="3" t="s">
        <v>2128</v>
      </c>
    </row>
    <row r="537" spans="1:66" ht="12.9" customHeight="1">
      <c r="B537" s="1438"/>
      <c r="C537" s="1439"/>
      <c r="D537" s="1439"/>
      <c r="E537" s="1439"/>
      <c r="F537" s="1439"/>
      <c r="G537" s="1439"/>
      <c r="H537" s="1440"/>
      <c r="I537" s="48" t="s">
        <v>422</v>
      </c>
      <c r="J537" s="48"/>
      <c r="K537" s="48"/>
      <c r="L537" s="48"/>
      <c r="M537" s="48"/>
      <c r="N537" s="48"/>
      <c r="O537" s="48"/>
      <c r="P537" s="48"/>
      <c r="Q537" s="48"/>
      <c r="R537" s="48"/>
      <c r="S537" s="48"/>
      <c r="T537" s="48"/>
      <c r="U537" s="48"/>
      <c r="V537" s="48"/>
      <c r="W537" s="48"/>
      <c r="X537" s="48"/>
      <c r="Y537" s="48"/>
      <c r="Z537" s="48"/>
      <c r="AA537" s="48"/>
      <c r="AB537" s="48"/>
      <c r="AC537" s="1428" t="s">
        <v>592</v>
      </c>
      <c r="AD537" s="1429"/>
      <c r="AE537" s="1429"/>
      <c r="AF537" s="1429"/>
      <c r="AG537" s="38" t="s">
        <v>403</v>
      </c>
      <c r="AH537" s="1458"/>
      <c r="AI537" s="1458"/>
      <c r="AJ537" s="1458"/>
      <c r="AK537" s="1459"/>
      <c r="AZ537" s="3"/>
      <c r="BA537" s="3"/>
      <c r="BB537" s="3"/>
      <c r="BC537" s="3"/>
      <c r="BD537" s="3"/>
      <c r="BE537" s="3"/>
      <c r="BF537" s="3"/>
      <c r="BG537" s="3"/>
      <c r="BH537" s="3"/>
      <c r="BI537" s="3"/>
      <c r="BJ537" s="3"/>
      <c r="BK537" s="3"/>
      <c r="BL537" s="3"/>
      <c r="BM537" s="3"/>
      <c r="BN537" s="3" t="s">
        <v>2129</v>
      </c>
    </row>
    <row r="538" spans="1:66" ht="12.9" customHeight="1">
      <c r="B538" s="1438"/>
      <c r="C538" s="1439"/>
      <c r="D538" s="1439"/>
      <c r="E538" s="1439"/>
      <c r="F538" s="1439"/>
      <c r="G538" s="1439"/>
      <c r="H538" s="1440"/>
      <c r="I538" s="42" t="s">
        <v>563</v>
      </c>
      <c r="J538" s="42"/>
      <c r="K538" s="42"/>
      <c r="L538" s="42"/>
      <c r="M538" s="42"/>
      <c r="N538" s="42"/>
      <c r="O538" s="42"/>
      <c r="P538" s="42"/>
      <c r="Q538" s="42"/>
      <c r="R538" s="42"/>
      <c r="S538" s="42"/>
      <c r="T538" s="42"/>
      <c r="U538" s="42"/>
      <c r="V538" s="42"/>
      <c r="W538" s="42"/>
      <c r="AC538" s="1428">
        <v>5</v>
      </c>
      <c r="AD538" s="1429"/>
      <c r="AE538" s="1429"/>
      <c r="AF538" s="1429"/>
      <c r="AG538" s="38" t="s">
        <v>403</v>
      </c>
      <c r="AH538" s="1458">
        <v>2027</v>
      </c>
      <c r="AI538" s="1458"/>
      <c r="AJ538" s="1458"/>
      <c r="AK538" s="1459"/>
      <c r="AZ538" s="3"/>
      <c r="BA538" s="3"/>
      <c r="BB538" s="3"/>
      <c r="BC538" s="3"/>
      <c r="BD538" s="3"/>
      <c r="BE538" s="3"/>
      <c r="BF538" s="3"/>
      <c r="BG538" s="3"/>
      <c r="BH538" s="3"/>
      <c r="BI538" s="3"/>
      <c r="BJ538" s="3"/>
      <c r="BK538" s="3"/>
      <c r="BL538" s="3"/>
      <c r="BM538" s="3"/>
      <c r="BN538" s="3"/>
    </row>
    <row r="539" spans="1:66" ht="12.9" customHeight="1">
      <c r="B539" s="1438"/>
      <c r="C539" s="1439"/>
      <c r="D539" s="1439"/>
      <c r="E539" s="1439"/>
      <c r="F539" s="1439"/>
      <c r="G539" s="1439"/>
      <c r="H539" s="1440"/>
      <c r="I539" t="s">
        <v>564</v>
      </c>
      <c r="AC539" s="1428">
        <v>5</v>
      </c>
      <c r="AD539" s="1429"/>
      <c r="AE539" s="1429"/>
      <c r="AF539" s="1429"/>
      <c r="AG539" s="13" t="s">
        <v>403</v>
      </c>
      <c r="AH539" s="1458">
        <v>2026</v>
      </c>
      <c r="AI539" s="1458"/>
      <c r="AJ539" s="1458"/>
      <c r="AK539" s="1459"/>
      <c r="AZ539" s="3"/>
      <c r="BA539" s="3"/>
      <c r="BB539" s="3"/>
      <c r="BC539" s="3"/>
      <c r="BD539" s="3"/>
      <c r="BE539" s="3"/>
      <c r="BF539" s="3"/>
      <c r="BG539" s="3"/>
      <c r="BH539" s="3"/>
      <c r="BI539" s="3"/>
      <c r="BJ539" s="3"/>
      <c r="BK539" s="3"/>
      <c r="BL539" s="3"/>
      <c r="BM539" s="3"/>
      <c r="BN539" s="3"/>
    </row>
    <row r="540" spans="1:66" ht="12.9" customHeight="1">
      <c r="B540" s="1438"/>
      <c r="C540" s="1439"/>
      <c r="D540" s="1439"/>
      <c r="E540" s="1439"/>
      <c r="F540" s="1439"/>
      <c r="G540" s="1439"/>
      <c r="H540" s="1440"/>
      <c r="I540" t="s">
        <v>565</v>
      </c>
      <c r="AC540" s="1428">
        <v>11</v>
      </c>
      <c r="AD540" s="1429"/>
      <c r="AE540" s="1429"/>
      <c r="AF540" s="1429"/>
      <c r="AG540" s="38" t="s">
        <v>403</v>
      </c>
      <c r="AH540" s="1458">
        <v>2027</v>
      </c>
      <c r="AI540" s="1458"/>
      <c r="AJ540" s="1458"/>
      <c r="AK540" s="1459"/>
      <c r="AZ540" s="3"/>
      <c r="BA540" s="3"/>
      <c r="BB540" s="3"/>
      <c r="BC540" s="3"/>
      <c r="BD540" s="3"/>
      <c r="BE540" s="3"/>
      <c r="BF540" s="3"/>
      <c r="BG540" s="3"/>
      <c r="BH540" s="3"/>
      <c r="BI540" s="3"/>
      <c r="BJ540" s="3"/>
      <c r="BK540" s="3"/>
      <c r="BL540" s="3"/>
      <c r="BM540" s="3"/>
      <c r="BN540" s="3"/>
    </row>
    <row r="541" spans="1:66" ht="12.9" customHeight="1">
      <c r="B541" s="1438"/>
      <c r="C541" s="1439"/>
      <c r="D541" s="1439"/>
      <c r="E541" s="1439"/>
      <c r="F541" s="1439"/>
      <c r="G541" s="1439"/>
      <c r="H541" s="1440"/>
      <c r="I541" t="s">
        <v>566</v>
      </c>
      <c r="AC541" s="1428">
        <v>12</v>
      </c>
      <c r="AD541" s="1429"/>
      <c r="AE541" s="1429"/>
      <c r="AF541" s="1429"/>
      <c r="AG541" s="38" t="s">
        <v>403</v>
      </c>
      <c r="AH541" s="1458">
        <v>2027</v>
      </c>
      <c r="AI541" s="1458"/>
      <c r="AJ541" s="1458"/>
      <c r="AK541" s="1459"/>
      <c r="AZ541" s="3"/>
      <c r="BA541" s="3"/>
      <c r="BB541" s="3"/>
      <c r="BC541" s="3"/>
      <c r="BD541" s="3"/>
      <c r="BE541" s="3"/>
      <c r="BF541" s="3"/>
      <c r="BG541" s="3"/>
      <c r="BH541" s="3"/>
      <c r="BI541" s="3"/>
      <c r="BJ541" s="3"/>
      <c r="BK541" s="3"/>
      <c r="BL541" s="3"/>
      <c r="BM541" s="3"/>
      <c r="BN541" s="3"/>
    </row>
    <row r="542" spans="1:66" ht="12.9" customHeight="1">
      <c r="B542" s="1441"/>
      <c r="C542" s="1442"/>
      <c r="D542" s="1442"/>
      <c r="E542" s="1442"/>
      <c r="F542" s="1442"/>
      <c r="G542" s="1442"/>
      <c r="H542" s="1443"/>
      <c r="I542" s="48" t="s">
        <v>452</v>
      </c>
      <c r="J542" s="48"/>
      <c r="K542" s="48"/>
      <c r="L542" s="48"/>
      <c r="M542" s="48"/>
      <c r="N542" s="48"/>
      <c r="O542" s="48"/>
      <c r="P542" s="48"/>
      <c r="Q542" s="48"/>
      <c r="R542" s="48"/>
      <c r="S542" s="48"/>
      <c r="T542" s="48"/>
      <c r="U542" s="48"/>
      <c r="V542" s="48"/>
      <c r="W542" s="48"/>
      <c r="X542" s="48"/>
      <c r="Y542" s="48"/>
      <c r="Z542" s="48"/>
      <c r="AA542" s="48"/>
      <c r="AB542" s="48"/>
      <c r="AC542" s="1428">
        <v>12</v>
      </c>
      <c r="AD542" s="1429"/>
      <c r="AE542" s="1429"/>
      <c r="AF542" s="1429"/>
      <c r="AG542" s="38" t="s">
        <v>403</v>
      </c>
      <c r="AH542" s="1458">
        <v>2027</v>
      </c>
      <c r="AI542" s="1458"/>
      <c r="AJ542" s="1458"/>
      <c r="AK542" s="1459"/>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435" t="s">
        <v>2103</v>
      </c>
      <c r="C551" s="1436"/>
      <c r="D551" s="1436"/>
      <c r="E551" s="1436"/>
      <c r="F551" s="1436"/>
      <c r="G551" s="1436"/>
      <c r="H551" s="1436"/>
      <c r="I551" s="1436"/>
      <c r="J551" s="1436"/>
      <c r="K551" s="1436"/>
      <c r="L551" s="1437"/>
      <c r="M551" s="1435" t="s">
        <v>2104</v>
      </c>
      <c r="N551" s="1436"/>
      <c r="O551" s="1436"/>
      <c r="P551" s="1437"/>
      <c r="Q551" s="1435" t="s">
        <v>2130</v>
      </c>
      <c r="R551" s="1436"/>
      <c r="S551" s="1437"/>
      <c r="T551" s="1435" t="s">
        <v>2131</v>
      </c>
      <c r="U551" s="1436"/>
      <c r="V551" s="1437"/>
      <c r="W551" s="1435" t="s">
        <v>454</v>
      </c>
      <c r="X551" s="1436"/>
      <c r="Y551" s="1437"/>
      <c r="Z551" s="1435" t="s">
        <v>1852</v>
      </c>
      <c r="AA551" s="1436"/>
      <c r="AB551" s="1436"/>
      <c r="AC551" s="1436"/>
      <c r="AD551" s="1437"/>
      <c r="AE551" s="1435" t="s">
        <v>1677</v>
      </c>
      <c r="AF551" s="1436"/>
      <c r="AG551" s="1436"/>
      <c r="AH551" s="1437"/>
      <c r="AI551" s="1435" t="s">
        <v>1678</v>
      </c>
      <c r="AJ551" s="1436"/>
      <c r="AK551" s="1436"/>
      <c r="AL551" s="1437"/>
      <c r="AM551" s="1435" t="s">
        <v>455</v>
      </c>
      <c r="AN551" s="1436"/>
      <c r="AO551" s="1436"/>
      <c r="AP551" s="1436"/>
      <c r="AQ551" s="1436"/>
      <c r="AR551" s="1436"/>
      <c r="AS551" s="1437"/>
      <c r="BB551" s="3"/>
      <c r="BC551" s="3"/>
      <c r="BD551" s="3"/>
      <c r="BE551" s="3"/>
      <c r="BF551" s="3"/>
      <c r="BG551" s="3"/>
      <c r="BH551" s="3" t="s">
        <v>582</v>
      </c>
      <c r="BI551" s="3" t="str">
        <f>AG657</f>
        <v>Yes</v>
      </c>
    </row>
    <row r="552" spans="1:61" ht="12.9" customHeight="1">
      <c r="B552" s="1438"/>
      <c r="C552" s="1439"/>
      <c r="D552" s="1439"/>
      <c r="E552" s="1439"/>
      <c r="F552" s="1439"/>
      <c r="G552" s="1439"/>
      <c r="H552" s="1439"/>
      <c r="I552" s="1439"/>
      <c r="J552" s="1439"/>
      <c r="K552" s="1439"/>
      <c r="L552" s="1440"/>
      <c r="M552" s="1438"/>
      <c r="N552" s="1439"/>
      <c r="O552" s="1439"/>
      <c r="P552" s="1440"/>
      <c r="Q552" s="1438"/>
      <c r="R552" s="1439"/>
      <c r="S552" s="1440"/>
      <c r="T552" s="1438"/>
      <c r="U552" s="1439"/>
      <c r="V552" s="1440"/>
      <c r="W552" s="1438"/>
      <c r="X552" s="1439"/>
      <c r="Y552" s="1440"/>
      <c r="Z552" s="1438"/>
      <c r="AA552" s="1439"/>
      <c r="AB552" s="1439"/>
      <c r="AC552" s="1439"/>
      <c r="AD552" s="1440"/>
      <c r="AE552" s="1438"/>
      <c r="AF552" s="1439"/>
      <c r="AG552" s="1439"/>
      <c r="AH552" s="1440"/>
      <c r="AI552" s="1438"/>
      <c r="AJ552" s="1439"/>
      <c r="AK552" s="1439"/>
      <c r="AL552" s="1440"/>
      <c r="AM552" s="1438"/>
      <c r="AN552" s="1439"/>
      <c r="AO552" s="1439"/>
      <c r="AP552" s="1439"/>
      <c r="AQ552" s="1439"/>
      <c r="AR552" s="1439"/>
      <c r="AS552" s="1440"/>
      <c r="AU552" s="1147"/>
      <c r="BB552" s="3"/>
      <c r="BC552" s="3"/>
      <c r="BD552" s="3"/>
      <c r="BE552" s="3"/>
      <c r="BF552" s="3"/>
      <c r="BG552" s="3"/>
      <c r="BH552" s="3"/>
      <c r="BI552" s="3"/>
    </row>
    <row r="553" spans="1:61" ht="12.9"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47"/>
      <c r="BB553" s="3"/>
      <c r="BC553" s="3"/>
      <c r="BD553" s="3"/>
      <c r="BE553" s="3"/>
      <c r="BF553" s="3"/>
      <c r="BG553" s="3"/>
      <c r="BH553" s="3"/>
      <c r="BI553" s="3"/>
    </row>
    <row r="554" spans="1:61" ht="12.9" customHeight="1">
      <c r="B554" s="51" t="s">
        <v>112</v>
      </c>
      <c r="C554" s="1446" t="s">
        <v>2719</v>
      </c>
      <c r="D554" s="1446"/>
      <c r="E554" s="1446"/>
      <c r="F554" s="1446"/>
      <c r="G554" s="1446"/>
      <c r="H554" s="1446"/>
      <c r="I554" s="1446"/>
      <c r="J554" s="1446"/>
      <c r="K554" s="1446"/>
      <c r="L554" s="1446"/>
      <c r="M554" s="1373" t="s">
        <v>2120</v>
      </c>
      <c r="N554" s="1373"/>
      <c r="O554" s="1373"/>
      <c r="P554" s="1373"/>
      <c r="Q554" s="1361">
        <v>24</v>
      </c>
      <c r="R554" s="1361"/>
      <c r="S554" s="1362"/>
      <c r="T554" s="1360"/>
      <c r="U554" s="1361"/>
      <c r="V554" s="1362"/>
      <c r="W554" s="1370">
        <v>6.7000000000000004E-2</v>
      </c>
      <c r="X554" s="1371"/>
      <c r="Y554" s="1372"/>
      <c r="Z554" s="1461" t="s">
        <v>1185</v>
      </c>
      <c r="AA554" s="1461"/>
      <c r="AB554" s="1461"/>
      <c r="AC554" s="1461"/>
      <c r="AD554" s="1461"/>
      <c r="AE554" s="1455"/>
      <c r="AF554" s="1456"/>
      <c r="AG554" s="1456"/>
      <c r="AH554" s="1457"/>
      <c r="AI554" s="1469"/>
      <c r="AJ554" s="1470"/>
      <c r="AK554" s="1470"/>
      <c r="AL554" s="1471"/>
      <c r="AM554" s="1497">
        <v>11036545</v>
      </c>
      <c r="AN554" s="1498"/>
      <c r="AO554" s="1498"/>
      <c r="AP554" s="1498"/>
      <c r="AQ554" s="1498"/>
      <c r="AR554" s="1498"/>
      <c r="AS554" s="1499"/>
      <c r="AT554" s="1148"/>
      <c r="AU554" s="1147"/>
      <c r="BB554" s="3"/>
      <c r="BC554" s="3"/>
      <c r="BD554" s="3"/>
      <c r="BE554" s="3"/>
      <c r="BF554" s="3"/>
      <c r="BG554" s="3"/>
      <c r="BH554" s="3"/>
      <c r="BI554" s="3"/>
    </row>
    <row r="555" spans="1:61" ht="12.9" customHeight="1">
      <c r="B555" s="52" t="s">
        <v>113</v>
      </c>
      <c r="C555" s="1472" t="s">
        <v>2720</v>
      </c>
      <c r="D555" s="1472"/>
      <c r="E555" s="1472"/>
      <c r="F555" s="1472"/>
      <c r="G555" s="1472"/>
      <c r="H555" s="1472"/>
      <c r="I555" s="1472"/>
      <c r="J555" s="1472"/>
      <c r="K555" s="1472"/>
      <c r="L555" s="1472"/>
      <c r="M555" s="1373" t="s">
        <v>2119</v>
      </c>
      <c r="N555" s="1373"/>
      <c r="O555" s="1373"/>
      <c r="P555" s="1373"/>
      <c r="Q555" s="1360">
        <v>24</v>
      </c>
      <c r="R555" s="1361"/>
      <c r="S555" s="1362"/>
      <c r="T555" s="1360"/>
      <c r="U555" s="1361"/>
      <c r="V555" s="1362"/>
      <c r="W555" s="1370">
        <v>6.7000000000000004E-2</v>
      </c>
      <c r="X555" s="1371"/>
      <c r="Y555" s="1372"/>
      <c r="Z555" s="1461" t="s">
        <v>1185</v>
      </c>
      <c r="AA555" s="1461"/>
      <c r="AB555" s="1461"/>
      <c r="AC555" s="1461"/>
      <c r="AD555" s="1461"/>
      <c r="AE555" s="1455"/>
      <c r="AF555" s="1456"/>
      <c r="AG555" s="1456"/>
      <c r="AH555" s="1457"/>
      <c r="AI555" s="1469"/>
      <c r="AJ555" s="1470"/>
      <c r="AK555" s="1470"/>
      <c r="AL555" s="1471"/>
      <c r="AM555" s="1497">
        <v>8337975</v>
      </c>
      <c r="AN555" s="1498"/>
      <c r="AO555" s="1498"/>
      <c r="AP555" s="1498"/>
      <c r="AQ555" s="1498"/>
      <c r="AR555" s="1498"/>
      <c r="AS555" s="1499"/>
      <c r="AT555" s="1148" t="str">
        <f>IF(AND(NOT(C554=""),C555="",NOT(C556="")),"!","")</f>
        <v/>
      </c>
      <c r="AU555" s="1147"/>
      <c r="BB555" s="3"/>
      <c r="BC555" s="3"/>
      <c r="BD555" s="3"/>
      <c r="BE555" s="3"/>
      <c r="BF555" s="3"/>
      <c r="BG555" s="3"/>
      <c r="BH555" s="3"/>
      <c r="BI555" s="3"/>
    </row>
    <row r="556" spans="1:61" ht="12.9" customHeight="1">
      <c r="B556" s="52" t="s">
        <v>119</v>
      </c>
      <c r="C556" s="1472" t="s">
        <v>2721</v>
      </c>
      <c r="D556" s="1472"/>
      <c r="E556" s="1472"/>
      <c r="F556" s="1472"/>
      <c r="G556" s="1472"/>
      <c r="H556" s="1472"/>
      <c r="I556" s="1472"/>
      <c r="J556" s="1472"/>
      <c r="K556" s="1472"/>
      <c r="L556" s="1472"/>
      <c r="M556" s="1373" t="s">
        <v>2114</v>
      </c>
      <c r="N556" s="1373"/>
      <c r="O556" s="1373"/>
      <c r="P556" s="1373"/>
      <c r="Q556" s="1360">
        <v>660</v>
      </c>
      <c r="R556" s="1361"/>
      <c r="S556" s="1362"/>
      <c r="T556" s="1360">
        <v>660</v>
      </c>
      <c r="U556" s="1361"/>
      <c r="V556" s="1362"/>
      <c r="W556" s="1370">
        <v>0.03</v>
      </c>
      <c r="X556" s="1371"/>
      <c r="Y556" s="1372"/>
      <c r="Z556" s="1461" t="s">
        <v>1185</v>
      </c>
      <c r="AA556" s="1461"/>
      <c r="AB556" s="1461"/>
      <c r="AC556" s="1461"/>
      <c r="AD556" s="1461"/>
      <c r="AE556" s="1455"/>
      <c r="AF556" s="1456"/>
      <c r="AG556" s="1456"/>
      <c r="AH556" s="1457"/>
      <c r="AI556" s="1469"/>
      <c r="AJ556" s="1470"/>
      <c r="AK556" s="1470"/>
      <c r="AL556" s="1471"/>
      <c r="AM556" s="1497">
        <v>12331000</v>
      </c>
      <c r="AN556" s="1498"/>
      <c r="AO556" s="1498"/>
      <c r="AP556" s="1498"/>
      <c r="AQ556" s="1498"/>
      <c r="AR556" s="1498"/>
      <c r="AS556" s="1499"/>
      <c r="AT556" s="1148" t="str">
        <f>IF(AND(NOT(C555=""),C556="",NOT(C557="")),"!","")</f>
        <v/>
      </c>
      <c r="AU556" s="1147"/>
      <c r="BB556" s="3"/>
      <c r="BC556" s="3"/>
      <c r="BD556" s="3"/>
      <c r="BE556" s="3"/>
      <c r="BF556" s="3"/>
      <c r="BG556" s="3"/>
      <c r="BH556" s="3"/>
      <c r="BI556" s="3"/>
    </row>
    <row r="557" spans="1:61" ht="12.9" customHeight="1">
      <c r="B557" s="52" t="s">
        <v>582</v>
      </c>
      <c r="C557" s="1472" t="s">
        <v>2615</v>
      </c>
      <c r="D557" s="1472"/>
      <c r="E557" s="1472"/>
      <c r="F557" s="1472"/>
      <c r="G557" s="1472"/>
      <c r="H557" s="1472"/>
      <c r="I557" s="1472"/>
      <c r="J557" s="1472"/>
      <c r="K557" s="1472"/>
      <c r="L557" s="1472"/>
      <c r="M557" s="1373" t="s">
        <v>2114</v>
      </c>
      <c r="N557" s="1373"/>
      <c r="O557" s="1373"/>
      <c r="P557" s="1373"/>
      <c r="Q557" s="1360">
        <v>660</v>
      </c>
      <c r="R557" s="1361"/>
      <c r="S557" s="1362"/>
      <c r="T557" s="1360">
        <v>660</v>
      </c>
      <c r="U557" s="1361"/>
      <c r="V557" s="1362"/>
      <c r="W557" s="1370">
        <v>0.03</v>
      </c>
      <c r="X557" s="1371"/>
      <c r="Y557" s="1372"/>
      <c r="Z557" s="1461" t="s">
        <v>1185</v>
      </c>
      <c r="AA557" s="1461"/>
      <c r="AB557" s="1461"/>
      <c r="AC557" s="1461"/>
      <c r="AD557" s="1461"/>
      <c r="AE557" s="1455"/>
      <c r="AF557" s="1456"/>
      <c r="AG557" s="1456"/>
      <c r="AH557" s="1457"/>
      <c r="AI557" s="1469"/>
      <c r="AJ557" s="1470"/>
      <c r="AK557" s="1470"/>
      <c r="AL557" s="1471"/>
      <c r="AM557" s="1497">
        <v>2000000</v>
      </c>
      <c r="AN557" s="1498"/>
      <c r="AO557" s="1498"/>
      <c r="AP557" s="1498"/>
      <c r="AQ557" s="1498"/>
      <c r="AR557" s="1498"/>
      <c r="AS557" s="1499"/>
      <c r="AT557" s="1148" t="str">
        <f>IF(AND(NOT(C556=""),C557="",NOT(C558="")),"!","")</f>
        <v/>
      </c>
      <c r="AU557" s="1147"/>
      <c r="BB557" s="3"/>
      <c r="BC557" s="3"/>
      <c r="BD557" s="3"/>
      <c r="BE557" s="3"/>
      <c r="BF557" s="3"/>
      <c r="BG557" s="3"/>
      <c r="BH557" s="3"/>
      <c r="BI557" s="3"/>
    </row>
    <row r="558" spans="1:61" ht="12.9" customHeight="1">
      <c r="B558" s="52" t="s">
        <v>764</v>
      </c>
      <c r="C558" s="1472" t="s">
        <v>2722</v>
      </c>
      <c r="D558" s="1472"/>
      <c r="E558" s="1472"/>
      <c r="F558" s="1472"/>
      <c r="G558" s="1472"/>
      <c r="H558" s="1472"/>
      <c r="I558" s="1472"/>
      <c r="J558" s="1472"/>
      <c r="K558" s="1472"/>
      <c r="L558" s="1472"/>
      <c r="M558" s="1373" t="s">
        <v>2127</v>
      </c>
      <c r="N558" s="1373"/>
      <c r="O558" s="1373"/>
      <c r="P558" s="1373"/>
      <c r="Q558" s="1360"/>
      <c r="R558" s="1361"/>
      <c r="S558" s="1362"/>
      <c r="T558" s="1360"/>
      <c r="U558" s="1361"/>
      <c r="V558" s="1362"/>
      <c r="W558" s="1370"/>
      <c r="X558" s="1371"/>
      <c r="Y558" s="1372"/>
      <c r="Z558" s="1461" t="s">
        <v>1185</v>
      </c>
      <c r="AA558" s="1461"/>
      <c r="AB558" s="1461"/>
      <c r="AC558" s="1461"/>
      <c r="AD558" s="1461"/>
      <c r="AE558" s="1455"/>
      <c r="AF558" s="1456"/>
      <c r="AG558" s="1456"/>
      <c r="AH558" s="1457"/>
      <c r="AI558" s="1469"/>
      <c r="AJ558" s="1470"/>
      <c r="AK558" s="1470"/>
      <c r="AL558" s="1471"/>
      <c r="AM558" s="1497">
        <v>2100000</v>
      </c>
      <c r="AN558" s="1498"/>
      <c r="AO558" s="1498"/>
      <c r="AP558" s="1498"/>
      <c r="AQ558" s="1498"/>
      <c r="AR558" s="1498"/>
      <c r="AS558" s="1499"/>
      <c r="AT558" s="1148" t="str">
        <f t="shared" ref="AT558:AT565" si="0">IF(AND(NOT(C557=""),C558="",NOT(C559="")),"!","")</f>
        <v/>
      </c>
      <c r="AU558" s="1147"/>
      <c r="BB558" s="3"/>
      <c r="BC558" s="3"/>
      <c r="BD558" s="3"/>
      <c r="BE558" s="3"/>
      <c r="BF558" s="3"/>
      <c r="BG558" s="3"/>
      <c r="BH558" s="3" t="s">
        <v>764</v>
      </c>
      <c r="BI558" s="3" t="str">
        <f>N665</f>
        <v>Yes</v>
      </c>
    </row>
    <row r="559" spans="1:61" ht="12.9" customHeight="1">
      <c r="B559" s="52" t="s">
        <v>585</v>
      </c>
      <c r="C559" s="1472" t="s">
        <v>2723</v>
      </c>
      <c r="D559" s="1472"/>
      <c r="E559" s="1472"/>
      <c r="F559" s="1472"/>
      <c r="G559" s="1472"/>
      <c r="H559" s="1472"/>
      <c r="I559" s="1472"/>
      <c r="J559" s="1472"/>
      <c r="K559" s="1472"/>
      <c r="L559" s="1472"/>
      <c r="M559" s="1373" t="s">
        <v>2114</v>
      </c>
      <c r="N559" s="1373"/>
      <c r="O559" s="1373"/>
      <c r="P559" s="1373"/>
      <c r="Q559" s="1360">
        <v>660</v>
      </c>
      <c r="R559" s="1361"/>
      <c r="S559" s="1362"/>
      <c r="T559" s="1360">
        <v>660</v>
      </c>
      <c r="U559" s="1361"/>
      <c r="V559" s="1362"/>
      <c r="W559" s="1370">
        <v>0.03</v>
      </c>
      <c r="X559" s="1371"/>
      <c r="Y559" s="1372"/>
      <c r="Z559" s="1461" t="s">
        <v>1185</v>
      </c>
      <c r="AA559" s="1461"/>
      <c r="AB559" s="1461"/>
      <c r="AC559" s="1461"/>
      <c r="AD559" s="1461"/>
      <c r="AE559" s="1455"/>
      <c r="AF559" s="1456"/>
      <c r="AG559" s="1456"/>
      <c r="AH559" s="1457"/>
      <c r="AI559" s="1469"/>
      <c r="AJ559" s="1470"/>
      <c r="AK559" s="1470"/>
      <c r="AL559" s="1471"/>
      <c r="AM559" s="1497">
        <v>1000000</v>
      </c>
      <c r="AN559" s="1498"/>
      <c r="AO559" s="1498"/>
      <c r="AP559" s="1498"/>
      <c r="AQ559" s="1498"/>
      <c r="AR559" s="1498"/>
      <c r="AS559" s="1499"/>
      <c r="AT559" s="1148" t="str">
        <f t="shared" si="0"/>
        <v/>
      </c>
      <c r="AU559" s="1147"/>
      <c r="BB559" s="3"/>
      <c r="BC559" s="3"/>
      <c r="BD559" s="3"/>
      <c r="BE559" s="3"/>
      <c r="BF559" s="3"/>
      <c r="BG559" s="3"/>
      <c r="BH559" s="3" t="s">
        <v>585</v>
      </c>
      <c r="BI559" s="3" t="str">
        <f>AG665</f>
        <v>Yes</v>
      </c>
    </row>
    <row r="560" spans="1:61" ht="12.9" customHeight="1">
      <c r="B560" s="52" t="s">
        <v>456</v>
      </c>
      <c r="C560" s="1472" t="s">
        <v>2724</v>
      </c>
      <c r="D560" s="1472"/>
      <c r="E560" s="1472"/>
      <c r="F560" s="1472"/>
      <c r="G560" s="1472"/>
      <c r="H560" s="1472"/>
      <c r="I560" s="1472"/>
      <c r="J560" s="1472"/>
      <c r="K560" s="1472"/>
      <c r="L560" s="1472"/>
      <c r="M560" s="1446" t="s">
        <v>2111</v>
      </c>
      <c r="N560" s="1446"/>
      <c r="O560" s="1446"/>
      <c r="P560" s="1446"/>
      <c r="Q560" s="1447"/>
      <c r="R560" s="1448"/>
      <c r="S560" s="1449"/>
      <c r="T560" s="1447"/>
      <c r="U560" s="1448"/>
      <c r="V560" s="1449"/>
      <c r="W560" s="1600"/>
      <c r="X560" s="1601"/>
      <c r="Y560" s="1602"/>
      <c r="Z560" s="1461" t="s">
        <v>1185</v>
      </c>
      <c r="AA560" s="1461"/>
      <c r="AB560" s="1461"/>
      <c r="AC560" s="1461"/>
      <c r="AD560" s="1461"/>
      <c r="AE560" s="1455"/>
      <c r="AF560" s="1456"/>
      <c r="AG560" s="1456"/>
      <c r="AH560" s="1457"/>
      <c r="AI560" s="1469"/>
      <c r="AJ560" s="1470"/>
      <c r="AK560" s="1470"/>
      <c r="AL560" s="1471"/>
      <c r="AM560" s="1497">
        <f>+AO641-SUM(AM554:AS559)</f>
        <v>4945274</v>
      </c>
      <c r="AN560" s="1498"/>
      <c r="AO560" s="1498"/>
      <c r="AP560" s="1498"/>
      <c r="AQ560" s="1498"/>
      <c r="AR560" s="1498"/>
      <c r="AS560" s="1499"/>
      <c r="AT560" s="1148" t="str">
        <f t="shared" si="0"/>
        <v/>
      </c>
      <c r="AU560" s="1147"/>
      <c r="BB560" s="3"/>
      <c r="BC560" s="3"/>
      <c r="BD560" s="3"/>
      <c r="BE560" s="3"/>
      <c r="BF560" s="3"/>
      <c r="BG560" s="3"/>
      <c r="BH560" s="3"/>
      <c r="BI560" s="3"/>
    </row>
    <row r="561" spans="1:61" ht="12.9" customHeight="1">
      <c r="B561" s="52" t="s">
        <v>457</v>
      </c>
      <c r="C561" s="1472"/>
      <c r="D561" s="1472"/>
      <c r="E561" s="1472"/>
      <c r="F561" s="1472"/>
      <c r="G561" s="1472"/>
      <c r="H561" s="1472"/>
      <c r="I561" s="1472"/>
      <c r="J561" s="1472"/>
      <c r="K561" s="1472"/>
      <c r="L561" s="1472"/>
      <c r="M561" s="1446" t="s">
        <v>1185</v>
      </c>
      <c r="N561" s="1446"/>
      <c r="O561" s="1446"/>
      <c r="P561" s="1446"/>
      <c r="Q561" s="1447"/>
      <c r="R561" s="1448"/>
      <c r="S561" s="1449"/>
      <c r="T561" s="1447"/>
      <c r="U561" s="1448"/>
      <c r="V561" s="1449"/>
      <c r="W561" s="1600"/>
      <c r="X561" s="1601"/>
      <c r="Y561" s="1602"/>
      <c r="Z561" s="1461" t="s">
        <v>1185</v>
      </c>
      <c r="AA561" s="1461"/>
      <c r="AB561" s="1461"/>
      <c r="AC561" s="1461"/>
      <c r="AD561" s="1461"/>
      <c r="AE561" s="1455"/>
      <c r="AF561" s="1456"/>
      <c r="AG561" s="1456"/>
      <c r="AH561" s="1457"/>
      <c r="AI561" s="1469"/>
      <c r="AJ561" s="1470"/>
      <c r="AK561" s="1470"/>
      <c r="AL561" s="1471"/>
      <c r="AM561" s="1497"/>
      <c r="AN561" s="1498"/>
      <c r="AO561" s="1498"/>
      <c r="AP561" s="1498"/>
      <c r="AQ561" s="1498"/>
      <c r="AR561" s="1498"/>
      <c r="AS561" s="1499"/>
      <c r="AT561" s="1148" t="str">
        <f t="shared" si="0"/>
        <v/>
      </c>
      <c r="AU561" s="1147"/>
      <c r="BB561" s="3"/>
      <c r="BC561" s="3"/>
      <c r="BD561" s="3"/>
      <c r="BE561" s="3"/>
      <c r="BF561" s="3"/>
      <c r="BG561" s="3"/>
      <c r="BH561" s="3"/>
      <c r="BI561" s="3"/>
    </row>
    <row r="562" spans="1:61" ht="12.9" customHeight="1">
      <c r="B562" s="52" t="s">
        <v>462</v>
      </c>
      <c r="C562" s="1472"/>
      <c r="D562" s="1472"/>
      <c r="E562" s="1472"/>
      <c r="F562" s="1472"/>
      <c r="G562" s="1472"/>
      <c r="H562" s="1472"/>
      <c r="I562" s="1472"/>
      <c r="J562" s="1472"/>
      <c r="K562" s="1472"/>
      <c r="L562" s="1472"/>
      <c r="M562" s="1446" t="s">
        <v>1185</v>
      </c>
      <c r="N562" s="1446"/>
      <c r="O562" s="1446"/>
      <c r="P562" s="1446"/>
      <c r="Q562" s="1447"/>
      <c r="R562" s="1448"/>
      <c r="S562" s="1449"/>
      <c r="T562" s="1447"/>
      <c r="U562" s="1448"/>
      <c r="V562" s="1449"/>
      <c r="W562" s="1600"/>
      <c r="X562" s="1601"/>
      <c r="Y562" s="1602"/>
      <c r="Z562" s="1461" t="s">
        <v>1185</v>
      </c>
      <c r="AA562" s="1461"/>
      <c r="AB562" s="1461"/>
      <c r="AC562" s="1461"/>
      <c r="AD562" s="1461"/>
      <c r="AE562" s="1455"/>
      <c r="AF562" s="1456"/>
      <c r="AG562" s="1456"/>
      <c r="AH562" s="1457"/>
      <c r="AI562" s="1469"/>
      <c r="AJ562" s="1470"/>
      <c r="AK562" s="1470"/>
      <c r="AL562" s="1471"/>
      <c r="AM562" s="1497"/>
      <c r="AN562" s="1498"/>
      <c r="AO562" s="1498"/>
      <c r="AP562" s="1498"/>
      <c r="AQ562" s="1498"/>
      <c r="AR562" s="1498"/>
      <c r="AS562" s="1499"/>
      <c r="AT562" s="1148" t="str">
        <f t="shared" si="0"/>
        <v/>
      </c>
      <c r="AU562" s="1147"/>
      <c r="BB562" s="3"/>
      <c r="BC562" s="3"/>
      <c r="BD562" s="3"/>
      <c r="BE562" s="3"/>
      <c r="BF562" s="3"/>
      <c r="BG562" s="3"/>
      <c r="BH562" s="3"/>
      <c r="BI562" s="3"/>
    </row>
    <row r="563" spans="1:61" ht="12.9" customHeight="1">
      <c r="B563" s="52" t="s">
        <v>647</v>
      </c>
      <c r="C563" s="1472"/>
      <c r="D563" s="1472"/>
      <c r="E563" s="1472"/>
      <c r="F563" s="1472"/>
      <c r="G563" s="1472"/>
      <c r="H563" s="1472"/>
      <c r="I563" s="1472"/>
      <c r="J563" s="1472"/>
      <c r="K563" s="1472"/>
      <c r="L563" s="1472"/>
      <c r="M563" s="1446" t="s">
        <v>1185</v>
      </c>
      <c r="N563" s="1446"/>
      <c r="O563" s="1446"/>
      <c r="P563" s="1446"/>
      <c r="Q563" s="1447"/>
      <c r="R563" s="1448"/>
      <c r="S563" s="1449"/>
      <c r="T563" s="1447"/>
      <c r="U563" s="1448"/>
      <c r="V563" s="1449"/>
      <c r="W563" s="1600"/>
      <c r="X563" s="1601"/>
      <c r="Y563" s="1602"/>
      <c r="Z563" s="1461" t="s">
        <v>1185</v>
      </c>
      <c r="AA563" s="1461"/>
      <c r="AB563" s="1461"/>
      <c r="AC563" s="1461"/>
      <c r="AD563" s="1461"/>
      <c r="AE563" s="1455"/>
      <c r="AF563" s="1456"/>
      <c r="AG563" s="1456"/>
      <c r="AH563" s="1457"/>
      <c r="AI563" s="1469"/>
      <c r="AJ563" s="1470"/>
      <c r="AK563" s="1470"/>
      <c r="AL563" s="1471"/>
      <c r="AM563" s="1497"/>
      <c r="AN563" s="1498"/>
      <c r="AO563" s="1498"/>
      <c r="AP563" s="1498"/>
      <c r="AQ563" s="1498"/>
      <c r="AR563" s="1498"/>
      <c r="AS563" s="1499"/>
      <c r="AT563" s="1148" t="str">
        <f t="shared" si="0"/>
        <v/>
      </c>
      <c r="BB563" s="3"/>
      <c r="BC563" s="3"/>
      <c r="BD563" s="3"/>
      <c r="BE563" s="3"/>
      <c r="BF563" s="3"/>
      <c r="BG563" s="3"/>
      <c r="BH563" s="3"/>
      <c r="BI563" s="3"/>
    </row>
    <row r="564" spans="1:61" ht="12.9" customHeight="1">
      <c r="B564" s="52" t="s">
        <v>362</v>
      </c>
      <c r="C564" s="1472"/>
      <c r="D564" s="1472"/>
      <c r="E564" s="1472"/>
      <c r="F564" s="1472"/>
      <c r="G564" s="1472"/>
      <c r="H564" s="1472"/>
      <c r="I564" s="1472"/>
      <c r="J564" s="1472"/>
      <c r="K564" s="1472"/>
      <c r="L564" s="1472"/>
      <c r="M564" s="1446" t="s">
        <v>1185</v>
      </c>
      <c r="N564" s="1446"/>
      <c r="O564" s="1446"/>
      <c r="P564" s="1446"/>
      <c r="Q564" s="1447"/>
      <c r="R564" s="1448"/>
      <c r="S564" s="1449"/>
      <c r="T564" s="1447"/>
      <c r="U564" s="1448"/>
      <c r="V564" s="1449"/>
      <c r="W564" s="1600"/>
      <c r="X564" s="1601"/>
      <c r="Y564" s="1602"/>
      <c r="Z564" s="1461" t="s">
        <v>1185</v>
      </c>
      <c r="AA564" s="1461"/>
      <c r="AB564" s="1461"/>
      <c r="AC564" s="1461"/>
      <c r="AD564" s="1461"/>
      <c r="AE564" s="1455"/>
      <c r="AF564" s="1456"/>
      <c r="AG564" s="1456"/>
      <c r="AH564" s="1457"/>
      <c r="AI564" s="1469"/>
      <c r="AJ564" s="1470"/>
      <c r="AK564" s="1470"/>
      <c r="AL564" s="1471"/>
      <c r="AM564" s="1497"/>
      <c r="AN564" s="1498"/>
      <c r="AO564" s="1498"/>
      <c r="AP564" s="1498"/>
      <c r="AQ564" s="1498"/>
      <c r="AR564" s="1498"/>
      <c r="AS564" s="1499"/>
      <c r="AT564" s="1148" t="str">
        <f t="shared" si="0"/>
        <v/>
      </c>
      <c r="BB564" s="3"/>
      <c r="BC564" s="3"/>
      <c r="BD564" s="3"/>
      <c r="BE564" s="3"/>
      <c r="BF564" s="3"/>
      <c r="BG564" s="3"/>
      <c r="BH564" s="3"/>
      <c r="BI564" s="3"/>
    </row>
    <row r="565" spans="1:61" ht="12.9" customHeight="1">
      <c r="B565" s="52" t="s">
        <v>363</v>
      </c>
      <c r="C565" s="1472"/>
      <c r="D565" s="1472"/>
      <c r="E565" s="1472"/>
      <c r="F565" s="1472"/>
      <c r="G565" s="1472"/>
      <c r="H565" s="1472"/>
      <c r="I565" s="1472"/>
      <c r="J565" s="1472"/>
      <c r="K565" s="1472"/>
      <c r="L565" s="1472"/>
      <c r="M565" s="1446" t="s">
        <v>1185</v>
      </c>
      <c r="N565" s="1446"/>
      <c r="O565" s="1446"/>
      <c r="P565" s="1446"/>
      <c r="Q565" s="1447"/>
      <c r="R565" s="1448"/>
      <c r="S565" s="1449"/>
      <c r="T565" s="1447"/>
      <c r="U565" s="1448"/>
      <c r="V565" s="1449"/>
      <c r="W565" s="1600"/>
      <c r="X565" s="1601"/>
      <c r="Y565" s="1602"/>
      <c r="Z565" s="1461" t="s">
        <v>1185</v>
      </c>
      <c r="AA565" s="1461"/>
      <c r="AB565" s="1461"/>
      <c r="AC565" s="1461"/>
      <c r="AD565" s="1461"/>
      <c r="AE565" s="1455"/>
      <c r="AF565" s="1456"/>
      <c r="AG565" s="1456"/>
      <c r="AH565" s="1457"/>
      <c r="AI565" s="1469"/>
      <c r="AJ565" s="1470"/>
      <c r="AK565" s="1470"/>
      <c r="AL565" s="1471"/>
      <c r="AM565" s="1497"/>
      <c r="AN565" s="1498"/>
      <c r="AO565" s="1498"/>
      <c r="AP565" s="1498"/>
      <c r="AQ565" s="1498"/>
      <c r="AR565" s="1498"/>
      <c r="AS565" s="1499"/>
      <c r="AT565" s="1148" t="str">
        <f t="shared" si="0"/>
        <v/>
      </c>
      <c r="BB565" s="3"/>
      <c r="BC565" s="3"/>
      <c r="BD565" s="3"/>
      <c r="BE565" s="3"/>
      <c r="BF565" s="3"/>
      <c r="BG565" s="3"/>
      <c r="BH565" s="3"/>
      <c r="BI565" s="3"/>
    </row>
    <row r="566" spans="1:61" ht="12.9" customHeight="1">
      <c r="B566" s="1516" t="s">
        <v>127</v>
      </c>
      <c r="C566" s="1517"/>
      <c r="D566" s="1517"/>
      <c r="E566" s="1517"/>
      <c r="F566" s="1517"/>
      <c r="G566" s="1517"/>
      <c r="H566" s="1517"/>
      <c r="I566" s="1517"/>
      <c r="J566" s="1517"/>
      <c r="K566" s="1517"/>
      <c r="L566" s="1517"/>
      <c r="M566" s="1517"/>
      <c r="N566" s="1517"/>
      <c r="O566" s="1517"/>
      <c r="P566" s="1517"/>
      <c r="Q566" s="1517"/>
      <c r="R566" s="1517"/>
      <c r="S566" s="1517"/>
      <c r="T566" s="1517"/>
      <c r="U566" s="1518"/>
      <c r="V566" s="1517"/>
      <c r="W566" s="1517"/>
      <c r="X566" s="1517"/>
      <c r="Y566" s="1517"/>
      <c r="Z566" s="1517"/>
      <c r="AA566" s="1517"/>
      <c r="AB566" s="1517"/>
      <c r="AC566" s="1517"/>
      <c r="AD566" s="1517"/>
      <c r="AE566" s="1517"/>
      <c r="AF566" s="1517"/>
      <c r="AG566" s="1517"/>
      <c r="AH566" s="1517"/>
      <c r="AI566" s="1517"/>
      <c r="AJ566" s="1517"/>
      <c r="AK566" s="1517"/>
      <c r="AL566" s="1519"/>
      <c r="AM566" s="1503">
        <f>SUM(AM554:AS565)</f>
        <v>41750794</v>
      </c>
      <c r="AN566" s="1504"/>
      <c r="AO566" s="1504"/>
      <c r="AP566" s="1504"/>
      <c r="AQ566" s="1504"/>
      <c r="AR566" s="1504"/>
      <c r="AS566" s="1505"/>
      <c r="BB566" s="3"/>
      <c r="BC566" s="3"/>
      <c r="BD566" s="3"/>
      <c r="BE566" s="3"/>
      <c r="BF566" s="3"/>
      <c r="BG566" s="3"/>
      <c r="BH566" s="3" t="s">
        <v>456</v>
      </c>
      <c r="BI566" s="3">
        <f>N673</f>
        <v>0</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36" t="str">
        <f>C554</f>
        <v>Citi Bank Tax Exempt Loan</v>
      </c>
      <c r="H568" s="1336"/>
      <c r="I568" s="1336"/>
      <c r="J568" s="1336"/>
      <c r="K568" s="1336"/>
      <c r="L568" s="1336"/>
      <c r="M568" s="1336"/>
      <c r="N568" s="1336"/>
      <c r="O568" s="1336"/>
      <c r="P568" s="1336"/>
      <c r="Q568" s="1336"/>
      <c r="R568" s="1336"/>
      <c r="S568" s="8"/>
      <c r="T568" s="55" t="s">
        <v>113</v>
      </c>
      <c r="U568" t="s">
        <v>464</v>
      </c>
      <c r="Z568" s="1336" t="str">
        <f>C555</f>
        <v>City Bank Taxable Loan</v>
      </c>
      <c r="AA568" s="1336"/>
      <c r="AB568" s="1336"/>
      <c r="AC568" s="1336"/>
      <c r="AD568" s="1336"/>
      <c r="AE568" s="1336"/>
      <c r="AF568" s="1336"/>
      <c r="AG568" s="1336"/>
      <c r="AH568" s="1336"/>
      <c r="AI568" s="1336"/>
      <c r="AJ568" s="1336"/>
      <c r="AK568" s="1336"/>
      <c r="BB568" s="3"/>
      <c r="BC568" s="3"/>
      <c r="BD568" s="3"/>
      <c r="BE568" s="3"/>
      <c r="BF568" s="3"/>
      <c r="BG568" s="3"/>
      <c r="BH568" s="3"/>
      <c r="BI568" s="3"/>
    </row>
    <row r="569" spans="1:61" ht="12.9" customHeight="1">
      <c r="A569" s="22"/>
      <c r="B569" t="s">
        <v>85</v>
      </c>
      <c r="G569" s="1341" t="s">
        <v>2696</v>
      </c>
      <c r="H569" s="1341"/>
      <c r="I569" s="1341"/>
      <c r="J569" s="1341"/>
      <c r="K569" s="1341"/>
      <c r="L569" s="1341"/>
      <c r="M569" s="1341"/>
      <c r="N569" s="1341"/>
      <c r="O569" s="1341"/>
      <c r="P569" s="1341"/>
      <c r="Q569" s="1341"/>
      <c r="R569" s="1341"/>
      <c r="S569" s="8"/>
      <c r="T569" s="22"/>
      <c r="U569" t="s">
        <v>85</v>
      </c>
      <c r="Z569" s="1341" t="s">
        <v>2701</v>
      </c>
      <c r="AA569" s="1341"/>
      <c r="AB569" s="1341"/>
      <c r="AC569" s="1341"/>
      <c r="AD569" s="1341"/>
      <c r="AE569" s="1341"/>
      <c r="AF569" s="1341"/>
      <c r="AG569" s="1341"/>
      <c r="AH569" s="1341"/>
      <c r="AI569" s="1341"/>
      <c r="AJ569" s="1341"/>
      <c r="AK569" s="1341"/>
      <c r="BB569" s="3"/>
      <c r="BC569" s="3"/>
      <c r="BD569" s="3"/>
      <c r="BE569" s="3"/>
      <c r="BF569" s="3"/>
      <c r="BG569" s="3"/>
      <c r="BH569" s="3"/>
      <c r="BI569" s="3"/>
    </row>
    <row r="570" spans="1:61" ht="12.9" customHeight="1">
      <c r="A570" s="22"/>
      <c r="B570" t="s">
        <v>581</v>
      </c>
      <c r="G570" s="1341" t="s">
        <v>2697</v>
      </c>
      <c r="H570" s="1341"/>
      <c r="I570" s="1341"/>
      <c r="J570" s="1341"/>
      <c r="K570" s="1341"/>
      <c r="L570" s="1341"/>
      <c r="M570" s="1341"/>
      <c r="N570" s="1341"/>
      <c r="O570" s="1341"/>
      <c r="P570" s="1341"/>
      <c r="Q570" s="1341"/>
      <c r="R570" s="1341"/>
      <c r="T570" s="22"/>
      <c r="U570" t="s">
        <v>581</v>
      </c>
      <c r="Z570" s="1410" t="s">
        <v>2702</v>
      </c>
      <c r="AA570" s="1410"/>
      <c r="AB570" s="1410"/>
      <c r="AC570" s="1410"/>
      <c r="AD570" s="1410"/>
      <c r="AE570" s="1410"/>
      <c r="AF570" s="1410"/>
      <c r="AG570" s="1410"/>
      <c r="AH570" s="1410"/>
      <c r="AI570" s="1410"/>
      <c r="AJ570" s="1410"/>
      <c r="AK570" s="1410"/>
      <c r="BB570" s="3"/>
      <c r="BC570" s="3"/>
      <c r="BD570" s="3"/>
      <c r="BE570" s="3"/>
      <c r="BF570" s="3"/>
      <c r="BG570" s="3"/>
      <c r="BH570" s="3"/>
      <c r="BI570" s="3"/>
    </row>
    <row r="571" spans="1:61" ht="12.9" customHeight="1">
      <c r="A571" s="22"/>
      <c r="B571" t="s">
        <v>17</v>
      </c>
      <c r="G571" s="1341" t="s">
        <v>2698</v>
      </c>
      <c r="H571" s="1341"/>
      <c r="I571" s="1341"/>
      <c r="J571" s="1341"/>
      <c r="K571" s="1341"/>
      <c r="L571" s="1341"/>
      <c r="M571" s="1341"/>
      <c r="N571" s="1341"/>
      <c r="O571" s="1341"/>
      <c r="P571" s="1341"/>
      <c r="Q571" s="1341"/>
      <c r="R571" s="1341"/>
      <c r="S571" s="8"/>
      <c r="T571" s="22"/>
      <c r="U571" t="s">
        <v>17</v>
      </c>
      <c r="Z571" s="1410" t="s">
        <v>2703</v>
      </c>
      <c r="AA571" s="1410"/>
      <c r="AB571" s="1410"/>
      <c r="AC571" s="1410"/>
      <c r="AD571" s="1410"/>
      <c r="AE571" s="1410"/>
      <c r="AF571" s="1410"/>
      <c r="AG571" s="1410"/>
      <c r="AH571" s="1410"/>
      <c r="AI571" s="1410"/>
      <c r="AJ571" s="1410"/>
      <c r="AK571" s="1410"/>
      <c r="BB571" s="3"/>
      <c r="BC571" s="3"/>
      <c r="BD571" s="3"/>
      <c r="BE571" s="3"/>
      <c r="BF571" s="3"/>
      <c r="BG571" s="3"/>
      <c r="BH571" s="3"/>
      <c r="BI571" s="3"/>
    </row>
    <row r="572" spans="1:61" ht="12.9" customHeight="1">
      <c r="A572" s="22"/>
      <c r="B572" t="s">
        <v>316</v>
      </c>
      <c r="G572" s="1347" t="s">
        <v>2699</v>
      </c>
      <c r="H572" s="1347"/>
      <c r="I572" s="1347"/>
      <c r="J572" s="1347"/>
      <c r="K572" s="1347"/>
      <c r="L572" s="1347"/>
      <c r="O572" s="33" t="s">
        <v>206</v>
      </c>
      <c r="P572" s="1342"/>
      <c r="Q572" s="1342"/>
      <c r="R572" s="1342"/>
      <c r="S572" s="10"/>
      <c r="T572" s="22"/>
      <c r="U572" t="s">
        <v>316</v>
      </c>
      <c r="Z572" s="1347">
        <v>7074430826</v>
      </c>
      <c r="AA572" s="1347"/>
      <c r="AB572" s="1347"/>
      <c r="AC572" s="1347"/>
      <c r="AD572" s="1347"/>
      <c r="AE572" s="1347"/>
      <c r="AH572" s="33" t="s">
        <v>206</v>
      </c>
      <c r="AI572" s="1342"/>
      <c r="AJ572" s="1342"/>
      <c r="AK572" s="1342"/>
      <c r="BB572" s="3"/>
      <c r="BC572" s="3"/>
      <c r="BD572" s="3"/>
      <c r="BE572" s="3"/>
      <c r="BF572" s="3"/>
      <c r="BG572" s="3"/>
      <c r="BH572" s="3"/>
      <c r="BI572" s="3"/>
    </row>
    <row r="573" spans="1:61" ht="12.9" customHeight="1">
      <c r="A573" s="22"/>
      <c r="B573" t="s">
        <v>18</v>
      </c>
      <c r="H573" s="1341" t="s">
        <v>2700</v>
      </c>
      <c r="I573" s="1341"/>
      <c r="J573" s="1341"/>
      <c r="K573" s="1341"/>
      <c r="L573" s="1341"/>
      <c r="M573" s="1341"/>
      <c r="N573" s="1341"/>
      <c r="O573" s="1341"/>
      <c r="P573" s="1341"/>
      <c r="Q573" s="1341"/>
      <c r="R573" s="1341"/>
      <c r="S573" s="8"/>
      <c r="T573" s="22"/>
      <c r="U573" t="s">
        <v>18</v>
      </c>
      <c r="AA573" s="1341" t="s">
        <v>2704</v>
      </c>
      <c r="AB573" s="1341"/>
      <c r="AC573" s="1341"/>
      <c r="AD573" s="1341"/>
      <c r="AE573" s="1341"/>
      <c r="AF573" s="1341"/>
      <c r="AG573" s="1341"/>
      <c r="AH573" s="1341"/>
      <c r="AI573" s="1341"/>
      <c r="AJ573" s="1341"/>
      <c r="AK573" s="1341"/>
      <c r="BB573" s="3"/>
      <c r="BC573" s="3"/>
      <c r="BD573" s="3"/>
      <c r="BE573" s="3"/>
      <c r="BF573" s="3"/>
      <c r="BG573" s="3"/>
      <c r="BH573" s="3"/>
      <c r="BI573" s="3"/>
    </row>
    <row r="574" spans="1:61" ht="12.9" customHeight="1">
      <c r="A574" s="22"/>
      <c r="B574" s="320" t="s">
        <v>1186</v>
      </c>
      <c r="H574" s="8"/>
      <c r="I574" s="8"/>
      <c r="J574" s="8"/>
      <c r="K574" s="8"/>
      <c r="L574" s="8"/>
      <c r="M574" s="1621"/>
      <c r="N574" s="1621"/>
      <c r="O574" s="1621"/>
      <c r="P574" s="1621"/>
      <c r="Q574" s="1621"/>
      <c r="R574" s="1621"/>
      <c r="S574" s="8"/>
      <c r="T574" s="22"/>
      <c r="U574" s="320" t="s">
        <v>1186</v>
      </c>
      <c r="AA574" s="8"/>
      <c r="AB574" s="8"/>
      <c r="AC574" s="8"/>
      <c r="AD574" s="8"/>
      <c r="AE574" s="8"/>
      <c r="AF574" s="1621"/>
      <c r="AG574" s="1621"/>
      <c r="AH574" s="1621"/>
      <c r="AI574" s="1621"/>
      <c r="AJ574" s="1621"/>
      <c r="AK574" s="1621"/>
      <c r="BB574" s="3"/>
      <c r="BC574" s="3"/>
      <c r="BD574" s="3"/>
      <c r="BE574" s="3"/>
      <c r="BF574" s="3"/>
      <c r="BG574" s="3"/>
      <c r="BH574" s="3"/>
      <c r="BI574" s="3"/>
    </row>
    <row r="575" spans="1:61" ht="12.9" customHeight="1">
      <c r="A575" s="22"/>
      <c r="B575" t="s">
        <v>20</v>
      </c>
      <c r="N575" s="1337" t="s">
        <v>546</v>
      </c>
      <c r="O575" s="1337"/>
      <c r="T575" s="22"/>
      <c r="U575" t="s">
        <v>20</v>
      </c>
      <c r="AG575" s="1337" t="s">
        <v>546</v>
      </c>
      <c r="AH575" s="1337"/>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36" t="str">
        <f>C556</f>
        <v xml:space="preserve">HTA </v>
      </c>
      <c r="H577" s="1336"/>
      <c r="I577" s="1336"/>
      <c r="J577" s="1336"/>
      <c r="K577" s="1336"/>
      <c r="L577" s="1336"/>
      <c r="M577" s="1336"/>
      <c r="N577" s="1336"/>
      <c r="O577" s="1336"/>
      <c r="P577" s="1336"/>
      <c r="Q577" s="1336"/>
      <c r="R577" s="1336"/>
      <c r="T577" s="55" t="s">
        <v>582</v>
      </c>
      <c r="U577" t="s">
        <v>464</v>
      </c>
      <c r="Z577" s="1336" t="str">
        <f>C557</f>
        <v>City of Eureka</v>
      </c>
      <c r="AA577" s="1336"/>
      <c r="AB577" s="1336"/>
      <c r="AC577" s="1336"/>
      <c r="AD577" s="1336"/>
      <c r="AE577" s="1336"/>
      <c r="AF577" s="1336"/>
      <c r="AG577" s="1336"/>
      <c r="AH577" s="1336"/>
      <c r="AI577" s="1336"/>
      <c r="AJ577" s="1336"/>
      <c r="AK577" s="1336"/>
      <c r="BB577" s="3"/>
      <c r="BC577" s="3"/>
    </row>
    <row r="578" spans="1:55" ht="12.9" customHeight="1">
      <c r="A578" s="22"/>
      <c r="B578" t="s">
        <v>85</v>
      </c>
      <c r="G578" s="1341" t="s">
        <v>2617</v>
      </c>
      <c r="H578" s="1341"/>
      <c r="I578" s="1341"/>
      <c r="J578" s="1341"/>
      <c r="K578" s="1341"/>
      <c r="L578" s="1341"/>
      <c r="M578" s="1341"/>
      <c r="N578" s="1341"/>
      <c r="O578" s="1341"/>
      <c r="P578" s="1341"/>
      <c r="Q578" s="1341"/>
      <c r="R578" s="1341"/>
      <c r="T578" s="22"/>
      <c r="U578" t="s">
        <v>85</v>
      </c>
      <c r="Z578" s="1341" t="s">
        <v>2617</v>
      </c>
      <c r="AA578" s="1341"/>
      <c r="AB578" s="1341"/>
      <c r="AC578" s="1341"/>
      <c r="AD578" s="1341"/>
      <c r="AE578" s="1341"/>
      <c r="AF578" s="1341"/>
      <c r="AG578" s="1341"/>
      <c r="AH578" s="1341"/>
      <c r="AI578" s="1341"/>
      <c r="AJ578" s="1341"/>
      <c r="AK578" s="1341"/>
      <c r="BB578" s="3"/>
      <c r="BC578" s="3"/>
    </row>
    <row r="579" spans="1:55" ht="12.9" customHeight="1">
      <c r="A579" s="22"/>
      <c r="B579" t="s">
        <v>581</v>
      </c>
      <c r="G579" s="1410" t="s">
        <v>2705</v>
      </c>
      <c r="H579" s="1410"/>
      <c r="I579" s="1410"/>
      <c r="J579" s="1410"/>
      <c r="K579" s="1410"/>
      <c r="L579" s="1410"/>
      <c r="M579" s="1410"/>
      <c r="N579" s="1410"/>
      <c r="O579" s="1410"/>
      <c r="P579" s="1410"/>
      <c r="Q579" s="1410"/>
      <c r="R579" s="1410"/>
      <c r="T579" s="22"/>
      <c r="U579" t="s">
        <v>581</v>
      </c>
      <c r="Z579" s="1410" t="s">
        <v>2705</v>
      </c>
      <c r="AA579" s="1410"/>
      <c r="AB579" s="1410"/>
      <c r="AC579" s="1410"/>
      <c r="AD579" s="1410"/>
      <c r="AE579" s="1410"/>
      <c r="AF579" s="1410"/>
      <c r="AG579" s="1410"/>
      <c r="AH579" s="1410"/>
      <c r="AI579" s="1410"/>
      <c r="AJ579" s="1410"/>
      <c r="AK579" s="1410"/>
      <c r="BB579" s="3"/>
      <c r="BC579" s="3"/>
    </row>
    <row r="580" spans="1:55" ht="12.9" customHeight="1">
      <c r="A580" s="22"/>
      <c r="B580" t="s">
        <v>17</v>
      </c>
      <c r="G580" s="1410" t="s">
        <v>2616</v>
      </c>
      <c r="H580" s="1410"/>
      <c r="I580" s="1410"/>
      <c r="J580" s="1410"/>
      <c r="K580" s="1410"/>
      <c r="L580" s="1410"/>
      <c r="M580" s="1410"/>
      <c r="N580" s="1410"/>
      <c r="O580" s="1410"/>
      <c r="P580" s="1410"/>
      <c r="Q580" s="1410"/>
      <c r="R580" s="1410"/>
      <c r="T580" s="22"/>
      <c r="U580" t="s">
        <v>17</v>
      </c>
      <c r="Z580" s="1410" t="s">
        <v>2616</v>
      </c>
      <c r="AA580" s="1410"/>
      <c r="AB580" s="1410"/>
      <c r="AC580" s="1410"/>
      <c r="AD580" s="1410"/>
      <c r="AE580" s="1410"/>
      <c r="AF580" s="1410"/>
      <c r="AG580" s="1410"/>
      <c r="AH580" s="1410"/>
      <c r="AI580" s="1410"/>
      <c r="AJ580" s="1410"/>
      <c r="AK580" s="1410"/>
      <c r="BB580" s="3"/>
      <c r="BC580" s="3"/>
    </row>
    <row r="581" spans="1:55" ht="12.9" customHeight="1">
      <c r="A581" s="22"/>
      <c r="B581" t="s">
        <v>316</v>
      </c>
      <c r="G581" s="1347">
        <v>7074414184</v>
      </c>
      <c r="H581" s="1347"/>
      <c r="I581" s="1347"/>
      <c r="J581" s="1347"/>
      <c r="K581" s="1347"/>
      <c r="L581" s="1347"/>
      <c r="O581" s="33" t="s">
        <v>206</v>
      </c>
      <c r="P581" s="1342"/>
      <c r="Q581" s="1342"/>
      <c r="R581" s="1342"/>
      <c r="T581" s="22"/>
      <c r="U581" t="s">
        <v>316</v>
      </c>
      <c r="Z581" s="1347">
        <v>7074414184</v>
      </c>
      <c r="AA581" s="1347"/>
      <c r="AB581" s="1347"/>
      <c r="AC581" s="1347"/>
      <c r="AD581" s="1347"/>
      <c r="AE581" s="1347"/>
      <c r="AH581" s="33" t="s">
        <v>206</v>
      </c>
      <c r="AI581" s="1342"/>
      <c r="AJ581" s="1342"/>
      <c r="AK581" s="1342"/>
      <c r="BB581" s="3"/>
      <c r="BC581" s="3"/>
    </row>
    <row r="582" spans="1:55" ht="12.9" customHeight="1">
      <c r="A582" s="22"/>
      <c r="B582" t="s">
        <v>18</v>
      </c>
      <c r="H582" s="1341" t="s">
        <v>2706</v>
      </c>
      <c r="I582" s="1341"/>
      <c r="J582" s="1341"/>
      <c r="K582" s="1341"/>
      <c r="L582" s="1341"/>
      <c r="M582" s="1341"/>
      <c r="N582" s="1341"/>
      <c r="O582" s="1341"/>
      <c r="P582" s="1341"/>
      <c r="Q582" s="1341"/>
      <c r="R582" s="1341"/>
      <c r="T582" s="22"/>
      <c r="U582" t="s">
        <v>18</v>
      </c>
      <c r="AA582" s="1341" t="s">
        <v>2706</v>
      </c>
      <c r="AB582" s="1341"/>
      <c r="AC582" s="1341"/>
      <c r="AD582" s="1341"/>
      <c r="AE582" s="1341"/>
      <c r="AF582" s="1341"/>
      <c r="AG582" s="1341"/>
      <c r="AH582" s="1341"/>
      <c r="AI582" s="1341"/>
      <c r="AJ582" s="1341"/>
      <c r="AK582" s="1341"/>
      <c r="BB582" s="3"/>
      <c r="BC582" s="3"/>
    </row>
    <row r="583" spans="1:55" ht="12.9" customHeight="1">
      <c r="A583" s="22"/>
      <c r="B583" t="s">
        <v>20</v>
      </c>
      <c r="N583" s="1337" t="s">
        <v>546</v>
      </c>
      <c r="O583" s="1337"/>
      <c r="T583" s="22"/>
      <c r="U583" t="s">
        <v>20</v>
      </c>
      <c r="AG583" s="1337" t="s">
        <v>546</v>
      </c>
      <c r="AH583" s="1337"/>
      <c r="BB583" s="3"/>
      <c r="BC583" s="3"/>
    </row>
    <row r="584" spans="1:55" ht="12.9" customHeight="1">
      <c r="A584" s="22"/>
      <c r="T584" s="22"/>
      <c r="BB584" s="3"/>
      <c r="BC584" s="3"/>
    </row>
    <row r="585" spans="1:55" ht="12.9" customHeight="1">
      <c r="A585" s="55" t="s">
        <v>764</v>
      </c>
      <c r="B585" t="s">
        <v>464</v>
      </c>
      <c r="G585" s="1336" t="str">
        <f>C558</f>
        <v>City of Eureka Land</v>
      </c>
      <c r="H585" s="1336"/>
      <c r="I585" s="1336"/>
      <c r="J585" s="1336"/>
      <c r="K585" s="1336"/>
      <c r="L585" s="1336"/>
      <c r="M585" s="1336"/>
      <c r="N585" s="1336"/>
      <c r="O585" s="1336"/>
      <c r="P585" s="1336"/>
      <c r="Q585" s="1336"/>
      <c r="R585" s="1336"/>
      <c r="T585" s="55" t="s">
        <v>585</v>
      </c>
      <c r="U585" t="s">
        <v>464</v>
      </c>
      <c r="Z585" s="1336" t="str">
        <f>C559</f>
        <v>DDS - RCRC</v>
      </c>
      <c r="AA585" s="1336"/>
      <c r="AB585" s="1336"/>
      <c r="AC585" s="1336"/>
      <c r="AD585" s="1336"/>
      <c r="AE585" s="1336"/>
      <c r="AF585" s="1336"/>
      <c r="AG585" s="1336"/>
      <c r="AH585" s="1336"/>
      <c r="AI585" s="1336"/>
      <c r="AJ585" s="1336"/>
      <c r="AK585" s="1336"/>
      <c r="BB585" s="3"/>
      <c r="BC585" s="3"/>
    </row>
    <row r="586" spans="1:55" ht="12.9" customHeight="1">
      <c r="A586" s="22"/>
      <c r="B586" t="s">
        <v>85</v>
      </c>
      <c r="G586" s="1341" t="s">
        <v>2707</v>
      </c>
      <c r="H586" s="1341"/>
      <c r="I586" s="1341"/>
      <c r="J586" s="1341"/>
      <c r="K586" s="1341"/>
      <c r="L586" s="1341"/>
      <c r="M586" s="1341"/>
      <c r="N586" s="1341"/>
      <c r="O586" s="1341"/>
      <c r="P586" s="1341"/>
      <c r="Q586" s="1341"/>
      <c r="R586" s="1341"/>
      <c r="T586" s="22"/>
      <c r="U586" t="s">
        <v>85</v>
      </c>
      <c r="Z586" s="1341" t="s">
        <v>2709</v>
      </c>
      <c r="AA586" s="1341"/>
      <c r="AB586" s="1341"/>
      <c r="AC586" s="1341"/>
      <c r="AD586" s="1341"/>
      <c r="AE586" s="1341"/>
      <c r="AF586" s="1341"/>
      <c r="AG586" s="1341"/>
      <c r="AH586" s="1341"/>
      <c r="AI586" s="1341"/>
      <c r="AJ586" s="1341"/>
      <c r="AK586" s="1341"/>
      <c r="BB586" s="3"/>
      <c r="BC586" s="3"/>
    </row>
    <row r="587" spans="1:55" ht="12.9" customHeight="1">
      <c r="A587" s="22"/>
      <c r="B587" t="s">
        <v>581</v>
      </c>
      <c r="G587" s="1341" t="s">
        <v>2702</v>
      </c>
      <c r="H587" s="1341"/>
      <c r="I587" s="1341"/>
      <c r="J587" s="1341"/>
      <c r="K587" s="1341"/>
      <c r="L587" s="1341"/>
      <c r="M587" s="1341"/>
      <c r="N587" s="1341"/>
      <c r="O587" s="1341"/>
      <c r="P587" s="1341"/>
      <c r="Q587" s="1341"/>
      <c r="R587" s="1341"/>
      <c r="T587" s="22"/>
      <c r="U587" t="s">
        <v>581</v>
      </c>
      <c r="Z587" s="1410" t="s">
        <v>2673</v>
      </c>
      <c r="AA587" s="1410"/>
      <c r="AB587" s="1410"/>
      <c r="AC587" s="1410"/>
      <c r="AD587" s="1410"/>
      <c r="AE587" s="1410"/>
      <c r="AF587" s="1410"/>
      <c r="AG587" s="1410"/>
      <c r="AH587" s="1410"/>
      <c r="AI587" s="1410"/>
      <c r="AJ587" s="1410"/>
      <c r="AK587" s="1410"/>
      <c r="BB587" s="3"/>
      <c r="BC587" s="3"/>
    </row>
    <row r="588" spans="1:55" ht="12.9" customHeight="1">
      <c r="A588" s="22"/>
      <c r="B588" t="s">
        <v>17</v>
      </c>
      <c r="G588" s="1341" t="s">
        <v>2708</v>
      </c>
      <c r="H588" s="1341"/>
      <c r="I588" s="1341"/>
      <c r="J588" s="1341"/>
      <c r="K588" s="1341"/>
      <c r="L588" s="1341"/>
      <c r="M588" s="1341"/>
      <c r="N588" s="1341"/>
      <c r="O588" s="1341"/>
      <c r="P588" s="1341"/>
      <c r="Q588" s="1341"/>
      <c r="R588" s="1341"/>
      <c r="T588" s="22"/>
      <c r="U588" t="s">
        <v>17</v>
      </c>
      <c r="Z588" s="1410" t="s">
        <v>2674</v>
      </c>
      <c r="AA588" s="1410"/>
      <c r="AB588" s="1410"/>
      <c r="AC588" s="1410"/>
      <c r="AD588" s="1410"/>
      <c r="AE588" s="1410"/>
      <c r="AF588" s="1410"/>
      <c r="AG588" s="1410"/>
      <c r="AH588" s="1410"/>
      <c r="AI588" s="1410"/>
      <c r="AJ588" s="1410"/>
      <c r="AK588" s="1410"/>
    </row>
    <row r="589" spans="1:55" ht="12.9" customHeight="1">
      <c r="A589" s="22"/>
      <c r="B589" t="s">
        <v>316</v>
      </c>
      <c r="G589" s="1347">
        <v>7076162206</v>
      </c>
      <c r="H589" s="1347"/>
      <c r="I589" s="1347"/>
      <c r="J589" s="1347"/>
      <c r="K589" s="1347"/>
      <c r="L589" s="1347"/>
      <c r="O589" s="33" t="s">
        <v>206</v>
      </c>
      <c r="P589" s="1342"/>
      <c r="Q589" s="1342"/>
      <c r="R589" s="1342"/>
      <c r="T589" s="22"/>
      <c r="U589" t="s">
        <v>316</v>
      </c>
      <c r="Z589" s="1347" t="s">
        <v>2675</v>
      </c>
      <c r="AA589" s="1347"/>
      <c r="AB589" s="1347"/>
      <c r="AC589" s="1347"/>
      <c r="AD589" s="1347"/>
      <c r="AE589" s="1347"/>
      <c r="AH589" s="33" t="s">
        <v>206</v>
      </c>
      <c r="AI589" s="1342"/>
      <c r="AJ589" s="1342"/>
      <c r="AK589" s="1342"/>
      <c r="AZ589" s="3"/>
      <c r="BA589" s="3"/>
      <c r="BB589" s="3"/>
      <c r="BC589" s="3"/>
    </row>
    <row r="590" spans="1:55" ht="12.9" customHeight="1">
      <c r="A590" s="22"/>
      <c r="B590" t="s">
        <v>18</v>
      </c>
      <c r="H590" s="1341" t="s">
        <v>2704</v>
      </c>
      <c r="I590" s="1341"/>
      <c r="J590" s="1341"/>
      <c r="K590" s="1341"/>
      <c r="L590" s="1341"/>
      <c r="M590" s="1341"/>
      <c r="N590" s="1341"/>
      <c r="O590" s="1341"/>
      <c r="P590" s="1341"/>
      <c r="Q590" s="1341"/>
      <c r="R590" s="1341"/>
      <c r="T590" s="22"/>
      <c r="U590" t="s">
        <v>18</v>
      </c>
      <c r="AA590" s="1341" t="s">
        <v>2710</v>
      </c>
      <c r="AB590" s="1341"/>
      <c r="AC590" s="1341"/>
      <c r="AD590" s="1341"/>
      <c r="AE590" s="1341"/>
      <c r="AF590" s="1341"/>
      <c r="AG590" s="1341"/>
      <c r="AH590" s="1341"/>
      <c r="AI590" s="1341"/>
      <c r="AJ590" s="1341"/>
      <c r="AK590" s="1341"/>
      <c r="AZ590" s="3"/>
      <c r="BA590" s="3"/>
      <c r="BB590" s="3"/>
      <c r="BC590" s="3"/>
    </row>
    <row r="591" spans="1:55" ht="12.9" customHeight="1">
      <c r="A591" s="22"/>
      <c r="B591" t="s">
        <v>20</v>
      </c>
      <c r="N591" s="1337" t="s">
        <v>546</v>
      </c>
      <c r="O591" s="1337"/>
      <c r="T591" s="22"/>
      <c r="U591" t="s">
        <v>20</v>
      </c>
      <c r="AG591" s="1337" t="s">
        <v>546</v>
      </c>
      <c r="AH591" s="1337"/>
      <c r="AZ591" s="3"/>
      <c r="BA591" s="3"/>
      <c r="BB591" s="3"/>
      <c r="BC591" s="3"/>
    </row>
    <row r="592" spans="1:55" ht="12.9" customHeight="1">
      <c r="A592" s="22"/>
      <c r="T592" s="22"/>
      <c r="AZ592" s="3"/>
      <c r="BA592" s="3"/>
      <c r="BB592" s="3"/>
      <c r="BC592" s="3"/>
    </row>
    <row r="593" spans="1:55" ht="12.9" customHeight="1">
      <c r="A593" s="55" t="s">
        <v>456</v>
      </c>
      <c r="B593" t="s">
        <v>464</v>
      </c>
      <c r="G593" s="1336" t="str">
        <f>C560</f>
        <v>Tax Credit Equity</v>
      </c>
      <c r="H593" s="1336"/>
      <c r="I593" s="1336"/>
      <c r="J593" s="1336"/>
      <c r="K593" s="1336"/>
      <c r="L593" s="1336"/>
      <c r="M593" s="1336"/>
      <c r="N593" s="1336"/>
      <c r="O593" s="1336"/>
      <c r="P593" s="1336"/>
      <c r="Q593" s="1336"/>
      <c r="R593" s="1336"/>
      <c r="T593" s="55" t="s">
        <v>457</v>
      </c>
      <c r="U593" t="s">
        <v>464</v>
      </c>
      <c r="Z593" s="1336">
        <f>C561</f>
        <v>0</v>
      </c>
      <c r="AA593" s="1336"/>
      <c r="AB593" s="1336"/>
      <c r="AC593" s="1336"/>
      <c r="AD593" s="1336"/>
      <c r="AE593" s="1336"/>
      <c r="AF593" s="1336"/>
      <c r="AG593" s="1336"/>
      <c r="AH593" s="1336"/>
      <c r="AI593" s="1336"/>
      <c r="AJ593" s="1336"/>
      <c r="AK593" s="1336"/>
      <c r="AZ593" s="3"/>
      <c r="BA593" s="3"/>
      <c r="BB593" s="3"/>
      <c r="BC593" s="3"/>
    </row>
    <row r="594" spans="1:55" s="4" customFormat="1" ht="12.9" customHeight="1">
      <c r="A594" s="22"/>
      <c r="B594" t="s">
        <v>85</v>
      </c>
      <c r="C594"/>
      <c r="D594"/>
      <c r="E594"/>
      <c r="F594"/>
      <c r="G594" s="1341"/>
      <c r="H594" s="1341"/>
      <c r="I594" s="1341"/>
      <c r="J594" s="1341"/>
      <c r="K594" s="1341"/>
      <c r="L594" s="1341"/>
      <c r="M594" s="1341"/>
      <c r="N594" s="1341"/>
      <c r="O594" s="1341"/>
      <c r="P594" s="1341"/>
      <c r="Q594" s="1341"/>
      <c r="R594" s="1341"/>
      <c r="S594"/>
      <c r="T594" s="22"/>
      <c r="U594" t="s">
        <v>85</v>
      </c>
      <c r="V594"/>
      <c r="W594"/>
      <c r="X594"/>
      <c r="Y594"/>
      <c r="Z594" s="1341"/>
      <c r="AA594" s="1341"/>
      <c r="AB594" s="1341"/>
      <c r="AC594" s="1341"/>
      <c r="AD594" s="1341"/>
      <c r="AE594" s="1341"/>
      <c r="AF594" s="1341"/>
      <c r="AG594" s="1341"/>
      <c r="AH594" s="1341"/>
      <c r="AI594" s="1341"/>
      <c r="AJ594" s="1341"/>
      <c r="AK594" s="1341"/>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41"/>
      <c r="H595" s="1341"/>
      <c r="I595" s="1341"/>
      <c r="J595" s="1341"/>
      <c r="K595" s="1341"/>
      <c r="L595" s="1341"/>
      <c r="M595" s="1341"/>
      <c r="N595" s="1341"/>
      <c r="O595" s="1341"/>
      <c r="P595" s="1341"/>
      <c r="Q595" s="1341"/>
      <c r="R595" s="1341"/>
      <c r="S595"/>
      <c r="T595" s="22"/>
      <c r="U595" t="s">
        <v>581</v>
      </c>
      <c r="V595"/>
      <c r="W595"/>
      <c r="X595"/>
      <c r="Y595"/>
      <c r="Z595" s="1410"/>
      <c r="AA595" s="1410"/>
      <c r="AB595" s="1410"/>
      <c r="AC595" s="1410"/>
      <c r="AD595" s="1410"/>
      <c r="AE595" s="1410"/>
      <c r="AF595" s="1410"/>
      <c r="AG595" s="1410"/>
      <c r="AH595" s="1410"/>
      <c r="AI595" s="1410"/>
      <c r="AJ595" s="1410"/>
      <c r="AK595" s="1410"/>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41"/>
      <c r="H596" s="1341"/>
      <c r="I596" s="1341"/>
      <c r="J596" s="1341"/>
      <c r="K596" s="1341"/>
      <c r="L596" s="1341"/>
      <c r="M596" s="1341"/>
      <c r="N596" s="1341"/>
      <c r="O596" s="1341"/>
      <c r="P596" s="1341"/>
      <c r="Q596" s="1341"/>
      <c r="R596" s="1341"/>
      <c r="S596"/>
      <c r="T596" s="22"/>
      <c r="U596" t="s">
        <v>17</v>
      </c>
      <c r="V596"/>
      <c r="W596"/>
      <c r="X596"/>
      <c r="Y596"/>
      <c r="Z596" s="1410"/>
      <c r="AA596" s="1410"/>
      <c r="AB596" s="1410"/>
      <c r="AC596" s="1410"/>
      <c r="AD596" s="1410"/>
      <c r="AE596" s="1410"/>
      <c r="AF596" s="1410"/>
      <c r="AG596" s="1410"/>
      <c r="AH596" s="1410"/>
      <c r="AI596" s="1410"/>
      <c r="AJ596" s="1410"/>
      <c r="AK596" s="1410"/>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7"/>
      <c r="H597" s="1347"/>
      <c r="I597" s="1347"/>
      <c r="J597" s="1347"/>
      <c r="K597" s="1347"/>
      <c r="L597" s="1347"/>
      <c r="M597"/>
      <c r="N597"/>
      <c r="O597" s="33" t="s">
        <v>206</v>
      </c>
      <c r="P597" s="1342"/>
      <c r="Q597" s="1342"/>
      <c r="R597" s="1342"/>
      <c r="S597"/>
      <c r="T597" s="22"/>
      <c r="U597" t="s">
        <v>316</v>
      </c>
      <c r="V597"/>
      <c r="W597"/>
      <c r="X597"/>
      <c r="Y597"/>
      <c r="Z597" s="1347"/>
      <c r="AA597" s="1347"/>
      <c r="AB597" s="1347"/>
      <c r="AC597" s="1347"/>
      <c r="AD597" s="1347"/>
      <c r="AE597" s="1347"/>
      <c r="AF597"/>
      <c r="AG597"/>
      <c r="AH597" s="33" t="s">
        <v>206</v>
      </c>
      <c r="AI597" s="1342"/>
      <c r="AJ597" s="1342"/>
      <c r="AK597" s="134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41"/>
      <c r="I598" s="1341"/>
      <c r="J598" s="1341"/>
      <c r="K598" s="1341"/>
      <c r="L598" s="1341"/>
      <c r="M598" s="1341"/>
      <c r="N598" s="1341"/>
      <c r="O598" s="1341"/>
      <c r="P598" s="1341"/>
      <c r="Q598" s="1341"/>
      <c r="R598" s="1341"/>
      <c r="S598"/>
      <c r="T598" s="22"/>
      <c r="U598" t="s">
        <v>18</v>
      </c>
      <c r="V598"/>
      <c r="W598"/>
      <c r="X598"/>
      <c r="Y598"/>
      <c r="Z598"/>
      <c r="AA598" s="1341"/>
      <c r="AB598" s="1341"/>
      <c r="AC598" s="1341"/>
      <c r="AD598" s="1341"/>
      <c r="AE598" s="1341"/>
      <c r="AF598" s="1341"/>
      <c r="AG598" s="1341"/>
      <c r="AH598" s="1341"/>
      <c r="AI598" s="1341"/>
      <c r="AJ598" s="1341"/>
      <c r="AK598" s="1341"/>
      <c r="AL598"/>
      <c r="AM598"/>
      <c r="AN598"/>
      <c r="AO598"/>
      <c r="AP598"/>
      <c r="AQ598"/>
      <c r="AR598"/>
      <c r="AS598"/>
      <c r="AT598"/>
      <c r="AU598"/>
      <c r="AV598"/>
      <c r="AW598"/>
      <c r="AX598"/>
      <c r="AY598"/>
      <c r="BB598" s="3"/>
      <c r="BC598" s="3"/>
    </row>
    <row r="599" spans="1:55" ht="12.9" customHeight="1">
      <c r="A599" s="22"/>
      <c r="B599" t="s">
        <v>20</v>
      </c>
      <c r="N599" s="1337" t="s">
        <v>670</v>
      </c>
      <c r="O599" s="1337"/>
      <c r="T599" s="22"/>
      <c r="U599" t="s">
        <v>20</v>
      </c>
      <c r="AG599" s="1337" t="s">
        <v>670</v>
      </c>
      <c r="AH599" s="1337"/>
      <c r="BB599" s="3"/>
      <c r="BC599" s="3"/>
    </row>
    <row r="600" spans="1:55" ht="12.9" customHeight="1">
      <c r="A600" s="22"/>
      <c r="T600" s="22"/>
      <c r="BB600" s="3"/>
      <c r="BC600" s="3"/>
    </row>
    <row r="601" spans="1:55" ht="12.9" customHeight="1">
      <c r="A601" s="55" t="s">
        <v>462</v>
      </c>
      <c r="B601" t="s">
        <v>464</v>
      </c>
      <c r="G601" s="1336">
        <f>C562</f>
        <v>0</v>
      </c>
      <c r="H601" s="1336"/>
      <c r="I601" s="1336"/>
      <c r="J601" s="1336"/>
      <c r="K601" s="1336"/>
      <c r="L601" s="1336"/>
      <c r="M601" s="1336"/>
      <c r="N601" s="1336"/>
      <c r="O601" s="1336"/>
      <c r="P601" s="1336"/>
      <c r="Q601" s="1336"/>
      <c r="R601" s="1336"/>
      <c r="T601" s="55" t="s">
        <v>647</v>
      </c>
      <c r="U601" t="s">
        <v>464</v>
      </c>
      <c r="Z601" s="1336">
        <f>C563</f>
        <v>0</v>
      </c>
      <c r="AA601" s="1336"/>
      <c r="AB601" s="1336"/>
      <c r="AC601" s="1336"/>
      <c r="AD601" s="1336"/>
      <c r="AE601" s="1336"/>
      <c r="AF601" s="1336"/>
      <c r="AG601" s="1336"/>
      <c r="AH601" s="1336"/>
      <c r="AI601" s="1336"/>
      <c r="AJ601" s="1336"/>
      <c r="AK601" s="1336"/>
      <c r="BB601" s="3"/>
      <c r="BC601" s="3"/>
    </row>
    <row r="602" spans="1:55" ht="12.9" customHeight="1">
      <c r="A602" s="22"/>
      <c r="B602" t="s">
        <v>85</v>
      </c>
      <c r="G602" s="1341"/>
      <c r="H602" s="1341"/>
      <c r="I602" s="1341"/>
      <c r="J602" s="1341"/>
      <c r="K602" s="1341"/>
      <c r="L602" s="1341"/>
      <c r="M602" s="1341"/>
      <c r="N602" s="1341"/>
      <c r="O602" s="1341"/>
      <c r="P602" s="1341"/>
      <c r="Q602" s="1341"/>
      <c r="R602" s="1341"/>
      <c r="T602" s="22"/>
      <c r="U602" t="s">
        <v>85</v>
      </c>
      <c r="Z602" s="1341"/>
      <c r="AA602" s="1341"/>
      <c r="AB602" s="1341"/>
      <c r="AC602" s="1341"/>
      <c r="AD602" s="1341"/>
      <c r="AE602" s="1341"/>
      <c r="AF602" s="1341"/>
      <c r="AG602" s="1341"/>
      <c r="AH602" s="1341"/>
      <c r="AI602" s="1341"/>
      <c r="AJ602" s="1341"/>
      <c r="AK602" s="1341"/>
      <c r="AZ602" s="3"/>
      <c r="BA602" s="3"/>
      <c r="BB602" s="3"/>
      <c r="BC602" s="3"/>
    </row>
    <row r="603" spans="1:55" ht="12.9" customHeight="1">
      <c r="A603" s="22"/>
      <c r="B603" t="s">
        <v>581</v>
      </c>
      <c r="G603" s="1341"/>
      <c r="H603" s="1341"/>
      <c r="I603" s="1341"/>
      <c r="J603" s="1341"/>
      <c r="K603" s="1341"/>
      <c r="L603" s="1341"/>
      <c r="M603" s="1341"/>
      <c r="N603" s="1341"/>
      <c r="O603" s="1341"/>
      <c r="P603" s="1341"/>
      <c r="Q603" s="1341"/>
      <c r="R603" s="1341"/>
      <c r="T603" s="22"/>
      <c r="U603" t="s">
        <v>581</v>
      </c>
      <c r="Z603" s="1410"/>
      <c r="AA603" s="1410"/>
      <c r="AB603" s="1410"/>
      <c r="AC603" s="1410"/>
      <c r="AD603" s="1410"/>
      <c r="AE603" s="1410"/>
      <c r="AF603" s="1410"/>
      <c r="AG603" s="1410"/>
      <c r="AH603" s="1410"/>
      <c r="AI603" s="1410"/>
      <c r="AJ603" s="1410"/>
      <c r="AK603" s="1410"/>
      <c r="AZ603" s="3"/>
      <c r="BA603" s="3"/>
      <c r="BB603" s="3"/>
      <c r="BC603" s="3"/>
    </row>
    <row r="604" spans="1:55" ht="12.9" customHeight="1">
      <c r="A604" s="22"/>
      <c r="B604" t="s">
        <v>17</v>
      </c>
      <c r="G604" s="1341"/>
      <c r="H604" s="1341"/>
      <c r="I604" s="1341"/>
      <c r="J604" s="1341"/>
      <c r="K604" s="1341"/>
      <c r="L604" s="1341"/>
      <c r="M604" s="1341"/>
      <c r="N604" s="1341"/>
      <c r="O604" s="1341"/>
      <c r="P604" s="1341"/>
      <c r="Q604" s="1341"/>
      <c r="R604" s="1341"/>
      <c r="T604" s="22"/>
      <c r="U604" t="s">
        <v>17</v>
      </c>
      <c r="Z604" s="1410"/>
      <c r="AA604" s="1410"/>
      <c r="AB604" s="1410"/>
      <c r="AC604" s="1410"/>
      <c r="AD604" s="1410"/>
      <c r="AE604" s="1410"/>
      <c r="AF604" s="1410"/>
      <c r="AG604" s="1410"/>
      <c r="AH604" s="1410"/>
      <c r="AI604" s="1410"/>
      <c r="AJ604" s="1410"/>
      <c r="AK604" s="1410"/>
      <c r="AZ604" s="3"/>
      <c r="BA604" s="3"/>
      <c r="BB604" s="3"/>
      <c r="BC604" s="3"/>
    </row>
    <row r="605" spans="1:55" s="4" customFormat="1" ht="12.9" customHeight="1">
      <c r="A605" s="22"/>
      <c r="B605" t="s">
        <v>316</v>
      </c>
      <c r="C605"/>
      <c r="D605"/>
      <c r="E605"/>
      <c r="F605"/>
      <c r="G605" s="1347"/>
      <c r="H605" s="1347"/>
      <c r="I605" s="1347"/>
      <c r="J605" s="1347"/>
      <c r="K605" s="1347"/>
      <c r="L605" s="1347"/>
      <c r="M605"/>
      <c r="N605"/>
      <c r="O605" s="33" t="s">
        <v>206</v>
      </c>
      <c r="P605" s="1342"/>
      <c r="Q605" s="1342"/>
      <c r="R605" s="1342"/>
      <c r="S605"/>
      <c r="T605" s="22"/>
      <c r="U605" t="s">
        <v>316</v>
      </c>
      <c r="V605"/>
      <c r="W605"/>
      <c r="X605"/>
      <c r="Y605"/>
      <c r="Z605" s="1347"/>
      <c r="AA605" s="1347"/>
      <c r="AB605" s="1347"/>
      <c r="AC605" s="1347"/>
      <c r="AD605" s="1347"/>
      <c r="AE605" s="1347"/>
      <c r="AF605"/>
      <c r="AG605"/>
      <c r="AH605" s="33" t="s">
        <v>206</v>
      </c>
      <c r="AI605" s="1342"/>
      <c r="AJ605" s="1342"/>
      <c r="AK605" s="134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41"/>
      <c r="I606" s="1341"/>
      <c r="J606" s="1341"/>
      <c r="K606" s="1341"/>
      <c r="L606" s="1341"/>
      <c r="M606" s="1341"/>
      <c r="N606" s="1341"/>
      <c r="O606" s="1341"/>
      <c r="P606" s="1341"/>
      <c r="Q606" s="1341"/>
      <c r="R606" s="1341"/>
      <c r="S606"/>
      <c r="T606" s="22"/>
      <c r="U606" t="s">
        <v>18</v>
      </c>
      <c r="V606"/>
      <c r="W606"/>
      <c r="X606"/>
      <c r="Y606"/>
      <c r="Z606"/>
      <c r="AA606" s="1341"/>
      <c r="AB606" s="1341"/>
      <c r="AC606" s="1341"/>
      <c r="AD606" s="1341"/>
      <c r="AE606" s="1341"/>
      <c r="AF606" s="1341"/>
      <c r="AG606" s="1341"/>
      <c r="AH606" s="1341"/>
      <c r="AI606" s="1341"/>
      <c r="AJ606" s="1341"/>
      <c r="AK606" s="134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7" t="s">
        <v>670</v>
      </c>
      <c r="O607" s="1337"/>
      <c r="P607"/>
      <c r="Q607"/>
      <c r="R607"/>
      <c r="S607"/>
      <c r="T607" s="22"/>
      <c r="U607" t="s">
        <v>20</v>
      </c>
      <c r="V607"/>
      <c r="W607"/>
      <c r="X607"/>
      <c r="Y607"/>
      <c r="Z607"/>
      <c r="AA607"/>
      <c r="AB607"/>
      <c r="AC607"/>
      <c r="AD607"/>
      <c r="AE607"/>
      <c r="AF607"/>
      <c r="AG607" s="1337" t="s">
        <v>670</v>
      </c>
      <c r="AH607" s="1337"/>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36">
        <f>C564</f>
        <v>0</v>
      </c>
      <c r="H609" s="1336"/>
      <c r="I609" s="1336"/>
      <c r="J609" s="1336"/>
      <c r="K609" s="1336"/>
      <c r="L609" s="1336"/>
      <c r="M609" s="1336"/>
      <c r="N609" s="1336"/>
      <c r="O609" s="1336"/>
      <c r="P609" s="1336"/>
      <c r="Q609" s="1336"/>
      <c r="R609" s="1336"/>
      <c r="T609" s="55" t="s">
        <v>363</v>
      </c>
      <c r="U609" t="s">
        <v>464</v>
      </c>
      <c r="Z609" s="1336">
        <f>C565</f>
        <v>0</v>
      </c>
      <c r="AA609" s="1336"/>
      <c r="AB609" s="1336"/>
      <c r="AC609" s="1336"/>
      <c r="AD609" s="1336"/>
      <c r="AE609" s="1336"/>
      <c r="AF609" s="1336"/>
      <c r="AG609" s="1336"/>
      <c r="AH609" s="1336"/>
      <c r="AI609" s="1336"/>
      <c r="AJ609" s="1336"/>
      <c r="AK609" s="1336"/>
      <c r="AZ609" s="3"/>
      <c r="BA609" s="3"/>
      <c r="BB609" s="3"/>
      <c r="BC609" s="3"/>
    </row>
    <row r="610" spans="1:55" ht="12.9" customHeight="1">
      <c r="B610" t="s">
        <v>85</v>
      </c>
      <c r="G610" s="1341"/>
      <c r="H610" s="1341"/>
      <c r="I610" s="1341"/>
      <c r="J610" s="1341"/>
      <c r="K610" s="1341"/>
      <c r="L610" s="1341"/>
      <c r="M610" s="1341"/>
      <c r="N610" s="1341"/>
      <c r="O610" s="1341"/>
      <c r="P610" s="1341"/>
      <c r="Q610" s="1341"/>
      <c r="R610" s="1341"/>
      <c r="U610" t="s">
        <v>85</v>
      </c>
      <c r="Z610" s="1341"/>
      <c r="AA610" s="1341"/>
      <c r="AB610" s="1341"/>
      <c r="AC610" s="1341"/>
      <c r="AD610" s="1341"/>
      <c r="AE610" s="1341"/>
      <c r="AF610" s="1341"/>
      <c r="AG610" s="1341"/>
      <c r="AH610" s="1341"/>
      <c r="AI610" s="1341"/>
      <c r="AJ610" s="1341"/>
      <c r="AK610" s="1341"/>
      <c r="AZ610" s="3"/>
      <c r="BA610" s="3"/>
      <c r="BB610" s="3"/>
      <c r="BC610" s="3"/>
    </row>
    <row r="611" spans="1:55" ht="12.9" customHeight="1">
      <c r="B611" t="s">
        <v>581</v>
      </c>
      <c r="G611" s="1341"/>
      <c r="H611" s="1341"/>
      <c r="I611" s="1341"/>
      <c r="J611" s="1341"/>
      <c r="K611" s="1341"/>
      <c r="L611" s="1341"/>
      <c r="M611" s="1341"/>
      <c r="N611" s="1341"/>
      <c r="O611" s="1341"/>
      <c r="P611" s="1341"/>
      <c r="Q611" s="1341"/>
      <c r="R611" s="1341"/>
      <c r="U611" t="s">
        <v>581</v>
      </c>
      <c r="Z611" s="1410"/>
      <c r="AA611" s="1410"/>
      <c r="AB611" s="1410"/>
      <c r="AC611" s="1410"/>
      <c r="AD611" s="1410"/>
      <c r="AE611" s="1410"/>
      <c r="AF611" s="1410"/>
      <c r="AG611" s="1410"/>
      <c r="AH611" s="1410"/>
      <c r="AI611" s="1410"/>
      <c r="AJ611" s="1410"/>
      <c r="AK611" s="1410"/>
      <c r="AZ611" s="3"/>
      <c r="BA611" s="3"/>
      <c r="BB611" s="3"/>
      <c r="BC611" s="3"/>
    </row>
    <row r="612" spans="1:55" ht="12.9" customHeight="1">
      <c r="B612" t="s">
        <v>17</v>
      </c>
      <c r="G612" s="1341"/>
      <c r="H612" s="1341"/>
      <c r="I612" s="1341"/>
      <c r="J612" s="1341"/>
      <c r="K612" s="1341"/>
      <c r="L612" s="1341"/>
      <c r="M612" s="1341"/>
      <c r="N612" s="1341"/>
      <c r="O612" s="1341"/>
      <c r="P612" s="1341"/>
      <c r="Q612" s="1341"/>
      <c r="R612" s="1341"/>
      <c r="U612" t="s">
        <v>17</v>
      </c>
      <c r="Z612" s="1410"/>
      <c r="AA612" s="1410"/>
      <c r="AB612" s="1410"/>
      <c r="AC612" s="1410"/>
      <c r="AD612" s="1410"/>
      <c r="AE612" s="1410"/>
      <c r="AF612" s="1410"/>
      <c r="AG612" s="1410"/>
      <c r="AH612" s="1410"/>
      <c r="AI612" s="1410"/>
      <c r="AJ612" s="1410"/>
      <c r="AK612" s="1410"/>
      <c r="AZ612" s="3"/>
      <c r="BA612" s="3"/>
      <c r="BB612" s="3"/>
      <c r="BC612" s="3"/>
    </row>
    <row r="613" spans="1:55" ht="12.9" customHeight="1">
      <c r="B613" t="s">
        <v>316</v>
      </c>
      <c r="G613" s="1347"/>
      <c r="H613" s="1347"/>
      <c r="I613" s="1347"/>
      <c r="J613" s="1347"/>
      <c r="K613" s="1347"/>
      <c r="L613" s="1347"/>
      <c r="O613" s="33" t="s">
        <v>206</v>
      </c>
      <c r="P613" s="1342"/>
      <c r="Q613" s="1342"/>
      <c r="R613" s="1342"/>
      <c r="U613" t="s">
        <v>316</v>
      </c>
      <c r="Z613" s="1347"/>
      <c r="AA613" s="1347"/>
      <c r="AB613" s="1347"/>
      <c r="AC613" s="1347"/>
      <c r="AD613" s="1347"/>
      <c r="AE613" s="1347"/>
      <c r="AH613" s="33" t="s">
        <v>206</v>
      </c>
      <c r="AI613" s="1342"/>
      <c r="AJ613" s="1342"/>
      <c r="AK613" s="1342"/>
      <c r="AZ613" s="3"/>
      <c r="BA613" s="3"/>
      <c r="BB613" s="3"/>
      <c r="BC613" s="3"/>
    </row>
    <row r="614" spans="1:55" ht="12.9" customHeight="1">
      <c r="B614" t="s">
        <v>18</v>
      </c>
      <c r="H614" s="1341"/>
      <c r="I614" s="1341"/>
      <c r="J614" s="1341"/>
      <c r="K614" s="1341"/>
      <c r="L614" s="1341"/>
      <c r="M614" s="1341"/>
      <c r="N614" s="1341"/>
      <c r="O614" s="1341"/>
      <c r="P614" s="1341"/>
      <c r="Q614" s="1341"/>
      <c r="R614" s="1341"/>
      <c r="U614" t="s">
        <v>18</v>
      </c>
      <c r="AA614" s="1341"/>
      <c r="AB614" s="1341"/>
      <c r="AC614" s="1341"/>
      <c r="AD614" s="1341"/>
      <c r="AE614" s="1341"/>
      <c r="AF614" s="1341"/>
      <c r="AG614" s="1341"/>
      <c r="AH614" s="1341"/>
      <c r="AI614" s="1341"/>
      <c r="AJ614" s="1341"/>
      <c r="AK614" s="1341"/>
      <c r="AU614" s="899"/>
      <c r="AV614" s="899"/>
      <c r="AW614" s="899"/>
      <c r="AX614" s="899"/>
      <c r="AY614" s="899"/>
      <c r="AZ614" s="3"/>
      <c r="BA614" s="3"/>
      <c r="BB614" s="3"/>
      <c r="BC614" s="3"/>
    </row>
    <row r="615" spans="1:55" ht="12.9" customHeight="1">
      <c r="B615" t="s">
        <v>20</v>
      </c>
      <c r="N615" s="1337" t="s">
        <v>670</v>
      </c>
      <c r="O615" s="1337"/>
      <c r="U615" t="s">
        <v>20</v>
      </c>
      <c r="AG615" s="1337" t="s">
        <v>670</v>
      </c>
      <c r="AH615" s="1337"/>
      <c r="AU615" s="899"/>
      <c r="AV615" s="899"/>
      <c r="AW615" s="899"/>
      <c r="AX615" s="899"/>
      <c r="AY615" s="899"/>
      <c r="AZ615" s="3"/>
      <c r="BA615" s="3"/>
      <c r="BB615" s="3"/>
      <c r="BC615" s="3"/>
    </row>
    <row r="616" spans="1:55" ht="12.9" customHeight="1">
      <c r="AZ616" s="3"/>
      <c r="BA616" s="3"/>
      <c r="BB616" s="3"/>
      <c r="BC616" s="3"/>
    </row>
    <row r="617" spans="1:55" ht="12.9"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701" t="s">
        <v>2103</v>
      </c>
      <c r="C624" s="1701"/>
      <c r="D624" s="1701"/>
      <c r="E624" s="1701"/>
      <c r="F624" s="1701"/>
      <c r="G624" s="1701"/>
      <c r="H624" s="1701"/>
      <c r="I624" s="1701"/>
      <c r="J624" s="1701"/>
      <c r="K624" s="1701"/>
      <c r="L624" s="1701"/>
      <c r="M624" s="1691" t="s">
        <v>2104</v>
      </c>
      <c r="N624" s="1691"/>
      <c r="O624" s="1691"/>
      <c r="P624" s="1691"/>
      <c r="Q624" s="1691" t="s">
        <v>1853</v>
      </c>
      <c r="R624" s="1691"/>
      <c r="S624" s="1691"/>
      <c r="T624" s="1691" t="s">
        <v>1851</v>
      </c>
      <c r="U624" s="1691"/>
      <c r="V624" s="1691"/>
      <c r="W624" s="1690" t="s">
        <v>454</v>
      </c>
      <c r="X624" s="1690"/>
      <c r="Y624" s="1690"/>
      <c r="Z624" s="1436" t="s">
        <v>2133</v>
      </c>
      <c r="AA624" s="1436"/>
      <c r="AB624" s="1437"/>
      <c r="AC624" s="1692" t="s">
        <v>1677</v>
      </c>
      <c r="AD624" s="1693"/>
      <c r="AE624" s="1694"/>
      <c r="AF624" s="1435" t="s">
        <v>1931</v>
      </c>
      <c r="AG624" s="1436"/>
      <c r="AH624" s="1436"/>
      <c r="AI624" s="1436"/>
      <c r="AJ624" s="1437"/>
      <c r="AK624" s="1612" t="s">
        <v>1932</v>
      </c>
      <c r="AL624" s="1613"/>
      <c r="AM624" s="1613"/>
      <c r="AN624" s="1614"/>
      <c r="AO624" s="1691" t="s">
        <v>455</v>
      </c>
      <c r="AP624" s="1691"/>
      <c r="AQ624" s="1691"/>
      <c r="AR624" s="1691"/>
      <c r="AS624" s="1691"/>
      <c r="AU624" s="3"/>
      <c r="AZ624" s="3"/>
      <c r="BA624" s="3"/>
      <c r="BB624" s="3"/>
      <c r="BC624" s="3"/>
    </row>
    <row r="625" spans="2:157" ht="12.9" customHeight="1">
      <c r="B625" s="1701"/>
      <c r="C625" s="1701"/>
      <c r="D625" s="1701"/>
      <c r="E625" s="1701"/>
      <c r="F625" s="1701"/>
      <c r="G625" s="1701"/>
      <c r="H625" s="1701"/>
      <c r="I625" s="1701"/>
      <c r="J625" s="1701"/>
      <c r="K625" s="1701"/>
      <c r="L625" s="1701"/>
      <c r="M625" s="1691"/>
      <c r="N625" s="1691"/>
      <c r="O625" s="1691"/>
      <c r="P625" s="1691"/>
      <c r="Q625" s="1691"/>
      <c r="R625" s="1691"/>
      <c r="S625" s="1691"/>
      <c r="T625" s="1691"/>
      <c r="U625" s="1691"/>
      <c r="V625" s="1691"/>
      <c r="W625" s="1690"/>
      <c r="X625" s="1690"/>
      <c r="Y625" s="1690"/>
      <c r="Z625" s="1439"/>
      <c r="AA625" s="1439"/>
      <c r="AB625" s="1440"/>
      <c r="AC625" s="1695"/>
      <c r="AD625" s="1696"/>
      <c r="AE625" s="1697"/>
      <c r="AF625" s="1438"/>
      <c r="AG625" s="1439"/>
      <c r="AH625" s="1439"/>
      <c r="AI625" s="1439"/>
      <c r="AJ625" s="1440"/>
      <c r="AK625" s="1615"/>
      <c r="AL625" s="1616"/>
      <c r="AM625" s="1616"/>
      <c r="AN625" s="1617"/>
      <c r="AO625" s="1691"/>
      <c r="AP625" s="1691"/>
      <c r="AQ625" s="1691"/>
      <c r="AR625" s="1691"/>
      <c r="AS625" s="1691"/>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691"/>
      <c r="N626" s="1691"/>
      <c r="O626" s="1691"/>
      <c r="P626" s="1691"/>
      <c r="Q626" s="1691"/>
      <c r="R626" s="1691"/>
      <c r="S626" s="1691"/>
      <c r="T626" s="1691"/>
      <c r="U626" s="1691"/>
      <c r="V626" s="1691"/>
      <c r="W626" s="1690"/>
      <c r="X626" s="1690"/>
      <c r="Y626" s="1690"/>
      <c r="Z626" s="1442"/>
      <c r="AA626" s="1442"/>
      <c r="AB626" s="1443"/>
      <c r="AC626" s="1698"/>
      <c r="AD626" s="1699"/>
      <c r="AE626" s="1700"/>
      <c r="AF626" s="1441"/>
      <c r="AG626" s="1442"/>
      <c r="AH626" s="1442"/>
      <c r="AI626" s="1442"/>
      <c r="AJ626" s="1443"/>
      <c r="AK626" s="1618"/>
      <c r="AL626" s="1619"/>
      <c r="AM626" s="1619"/>
      <c r="AN626" s="1620"/>
      <c r="AO626" s="1691"/>
      <c r="AP626" s="1691"/>
      <c r="AQ626" s="1691"/>
      <c r="AR626" s="1691"/>
      <c r="AS626" s="1691"/>
      <c r="AT626" s="3"/>
      <c r="AU626" s="3"/>
      <c r="AZ626" s="3"/>
      <c r="BA626" s="3"/>
      <c r="BB626" s="3"/>
      <c r="BC626" s="3"/>
      <c r="BD626" s="3"/>
    </row>
    <row r="627" spans="2:157" ht="12.9" customHeight="1">
      <c r="B627" s="51" t="s">
        <v>112</v>
      </c>
      <c r="C627" s="1346" t="s">
        <v>2725</v>
      </c>
      <c r="D627" s="1346"/>
      <c r="E627" s="1346"/>
      <c r="F627" s="1346"/>
      <c r="G627" s="1346"/>
      <c r="H627" s="1346"/>
      <c r="I627" s="1346"/>
      <c r="J627" s="1346"/>
      <c r="K627" s="1346"/>
      <c r="L627" s="1346"/>
      <c r="M627" s="1363" t="s">
        <v>2114</v>
      </c>
      <c r="N627" s="1363"/>
      <c r="O627" s="1363"/>
      <c r="P627" s="1363"/>
      <c r="Q627" s="1364">
        <v>480</v>
      </c>
      <c r="R627" s="1365"/>
      <c r="S627" s="1366"/>
      <c r="T627" s="1364">
        <v>480</v>
      </c>
      <c r="U627" s="1365"/>
      <c r="V627" s="1366"/>
      <c r="W627" s="1367">
        <v>6.5000000000000002E-2</v>
      </c>
      <c r="X627" s="1368"/>
      <c r="Y627" s="1369"/>
      <c r="Z627" s="1507" t="s">
        <v>2132</v>
      </c>
      <c r="AA627" s="1508"/>
      <c r="AB627" s="1509"/>
      <c r="AC627" s="1420"/>
      <c r="AD627" s="1421"/>
      <c r="AE627" s="1422"/>
      <c r="AF627" s="1510">
        <v>236372</v>
      </c>
      <c r="AG627" s="1511"/>
      <c r="AH627" s="1511"/>
      <c r="AI627" s="1511"/>
      <c r="AJ627" s="1512"/>
      <c r="AK627" s="1513"/>
      <c r="AL627" s="1514"/>
      <c r="AM627" s="1514"/>
      <c r="AN627" s="1515"/>
      <c r="AO627" s="1661">
        <v>3364493</v>
      </c>
      <c r="AP627" s="1661"/>
      <c r="AQ627" s="1661"/>
      <c r="AR627" s="1661"/>
      <c r="AS627" s="1661"/>
      <c r="AT627" s="3"/>
      <c r="AU627" s="3"/>
      <c r="AZ627" s="3"/>
      <c r="BA627" s="3"/>
      <c r="BB627" s="3"/>
      <c r="BC627" s="3"/>
      <c r="BD627" s="3"/>
    </row>
    <row r="628" spans="2:157" ht="12.9" customHeight="1">
      <c r="B628" s="52" t="s">
        <v>113</v>
      </c>
      <c r="C628" s="1346" t="s">
        <v>2726</v>
      </c>
      <c r="D628" s="1346"/>
      <c r="E628" s="1346"/>
      <c r="F628" s="1346"/>
      <c r="G628" s="1346"/>
      <c r="H628" s="1346"/>
      <c r="I628" s="1346"/>
      <c r="J628" s="1346"/>
      <c r="K628" s="1346"/>
      <c r="L628" s="1346"/>
      <c r="M628" s="1363" t="s">
        <v>2114</v>
      </c>
      <c r="N628" s="1363"/>
      <c r="O628" s="1363"/>
      <c r="P628" s="1363"/>
      <c r="Q628" s="1364">
        <v>660</v>
      </c>
      <c r="R628" s="1365"/>
      <c r="S628" s="1366"/>
      <c r="T628" s="1364">
        <v>660</v>
      </c>
      <c r="U628" s="1365"/>
      <c r="V628" s="1366"/>
      <c r="W628" s="1367">
        <v>0.03</v>
      </c>
      <c r="X628" s="1368"/>
      <c r="Y628" s="1369"/>
      <c r="Z628" s="1507" t="s">
        <v>1185</v>
      </c>
      <c r="AA628" s="1508"/>
      <c r="AB628" s="1509"/>
      <c r="AC628" s="1420"/>
      <c r="AD628" s="1421"/>
      <c r="AE628" s="1422"/>
      <c r="AF628" s="1510"/>
      <c r="AG628" s="1511"/>
      <c r="AH628" s="1511"/>
      <c r="AI628" s="1511"/>
      <c r="AJ628" s="1512"/>
      <c r="AK628" s="1513"/>
      <c r="AL628" s="1514"/>
      <c r="AM628" s="1514"/>
      <c r="AN628" s="1515"/>
      <c r="AO628" s="1506">
        <v>2100000</v>
      </c>
      <c r="AP628" s="1380"/>
      <c r="AQ628" s="1380"/>
      <c r="AR628" s="1380"/>
      <c r="AS628" s="1381"/>
      <c r="AT628" s="1148" t="str">
        <f>IF(AND(NOT(C627=""),C628="",NOT(C629="")),"!","")</f>
        <v/>
      </c>
      <c r="AU628" s="3"/>
      <c r="AZ628" s="3"/>
      <c r="BA628" s="3"/>
      <c r="BB628" s="3"/>
      <c r="BC628" s="3"/>
      <c r="BD628" s="3"/>
    </row>
    <row r="629" spans="2:157" ht="12.9" customHeight="1">
      <c r="B629" s="52" t="s">
        <v>119</v>
      </c>
      <c r="C629" s="1346" t="s">
        <v>2729</v>
      </c>
      <c r="D629" s="1346"/>
      <c r="E629" s="1346"/>
      <c r="F629" s="1346"/>
      <c r="G629" s="1346"/>
      <c r="H629" s="1346"/>
      <c r="I629" s="1346"/>
      <c r="J629" s="1346"/>
      <c r="K629" s="1346"/>
      <c r="L629" s="1346"/>
      <c r="M629" s="1363" t="s">
        <v>2107</v>
      </c>
      <c r="N629" s="1363"/>
      <c r="O629" s="1363"/>
      <c r="P629" s="1363"/>
      <c r="Q629" s="1364"/>
      <c r="R629" s="1365"/>
      <c r="S629" s="1366"/>
      <c r="T629" s="1364"/>
      <c r="U629" s="1365"/>
      <c r="V629" s="1366"/>
      <c r="W629" s="1367"/>
      <c r="X629" s="1368"/>
      <c r="Y629" s="1369"/>
      <c r="Z629" s="1507" t="s">
        <v>1185</v>
      </c>
      <c r="AA629" s="1508"/>
      <c r="AB629" s="1509"/>
      <c r="AC629" s="1420"/>
      <c r="AD629" s="1421"/>
      <c r="AE629" s="1422"/>
      <c r="AF629" s="1510"/>
      <c r="AG629" s="1511"/>
      <c r="AH629" s="1511"/>
      <c r="AI629" s="1511"/>
      <c r="AJ629" s="1512"/>
      <c r="AK629" s="1513"/>
      <c r="AL629" s="1514"/>
      <c r="AM629" s="1514"/>
      <c r="AN629" s="1515"/>
      <c r="AO629" s="1506">
        <v>1062290</v>
      </c>
      <c r="AP629" s="1380"/>
      <c r="AQ629" s="1380"/>
      <c r="AR629" s="1380"/>
      <c r="AS629" s="1381"/>
      <c r="AT629" s="1148" t="str">
        <f t="shared" ref="AT629:AT638" si="1">IF(AND(NOT(C628=""),C629="",NOT(C630="")),"!","")</f>
        <v/>
      </c>
      <c r="AU629" s="3"/>
      <c r="AZ629" s="3"/>
      <c r="BA629" s="3"/>
      <c r="BB629" s="3"/>
      <c r="BC629" s="3"/>
      <c r="BD629" s="3"/>
    </row>
    <row r="630" spans="2:157" ht="12.9" customHeight="1">
      <c r="B630" s="52" t="s">
        <v>582</v>
      </c>
      <c r="C630" s="1521" t="s">
        <v>2717</v>
      </c>
      <c r="D630" s="1521"/>
      <c r="E630" s="1521"/>
      <c r="F630" s="1521"/>
      <c r="G630" s="1521"/>
      <c r="H630" s="1521"/>
      <c r="I630" s="1521"/>
      <c r="J630" s="1521"/>
      <c r="K630" s="1521"/>
      <c r="L630" s="1521"/>
      <c r="M630" s="1363" t="s">
        <v>2114</v>
      </c>
      <c r="N630" s="1363"/>
      <c r="O630" s="1363"/>
      <c r="P630" s="1363"/>
      <c r="Q630" s="1364">
        <v>660</v>
      </c>
      <c r="R630" s="1365"/>
      <c r="S630" s="1366"/>
      <c r="T630" s="1364">
        <v>660</v>
      </c>
      <c r="U630" s="1365"/>
      <c r="V630" s="1366"/>
      <c r="W630" s="1367">
        <v>0.03</v>
      </c>
      <c r="X630" s="1368"/>
      <c r="Y630" s="1369"/>
      <c r="Z630" s="1507" t="s">
        <v>458</v>
      </c>
      <c r="AA630" s="1508"/>
      <c r="AB630" s="1509"/>
      <c r="AC630" s="1420"/>
      <c r="AD630" s="1421"/>
      <c r="AE630" s="1422"/>
      <c r="AF630" s="1510"/>
      <c r="AG630" s="1511"/>
      <c r="AH630" s="1511"/>
      <c r="AI630" s="1511"/>
      <c r="AJ630" s="1512"/>
      <c r="AK630" s="1513"/>
      <c r="AL630" s="1514"/>
      <c r="AM630" s="1514"/>
      <c r="AN630" s="1515"/>
      <c r="AO630" s="1506">
        <v>12331000</v>
      </c>
      <c r="AP630" s="1380"/>
      <c r="AQ630" s="1380"/>
      <c r="AR630" s="1380"/>
      <c r="AS630" s="1381"/>
      <c r="AT630" s="1148" t="str">
        <f t="shared" si="1"/>
        <v/>
      </c>
      <c r="AU630" s="3"/>
      <c r="AZ630" s="3"/>
      <c r="BA630" s="3"/>
      <c r="BB630" s="3"/>
      <c r="BC630" s="3"/>
      <c r="BD630" s="3"/>
    </row>
    <row r="631" spans="2:157" ht="12.9" customHeight="1">
      <c r="B631" s="52" t="s">
        <v>764</v>
      </c>
      <c r="C631" s="1521" t="s">
        <v>2727</v>
      </c>
      <c r="D631" s="1521"/>
      <c r="E631" s="1521"/>
      <c r="F631" s="1521"/>
      <c r="G631" s="1521"/>
      <c r="H631" s="1521"/>
      <c r="I631" s="1521"/>
      <c r="J631" s="1521"/>
      <c r="K631" s="1521"/>
      <c r="L631" s="1521"/>
      <c r="M631" s="1363" t="s">
        <v>2114</v>
      </c>
      <c r="N631" s="1363"/>
      <c r="O631" s="1363"/>
      <c r="P631" s="1363"/>
      <c r="Q631" s="1364">
        <v>660</v>
      </c>
      <c r="R631" s="1365"/>
      <c r="S631" s="1366"/>
      <c r="T631" s="1364">
        <v>660</v>
      </c>
      <c r="U631" s="1365"/>
      <c r="V631" s="1366"/>
      <c r="W631" s="1367">
        <v>0.03</v>
      </c>
      <c r="X631" s="1368"/>
      <c r="Y631" s="1369"/>
      <c r="Z631" s="1507" t="s">
        <v>458</v>
      </c>
      <c r="AA631" s="1508"/>
      <c r="AB631" s="1509"/>
      <c r="AC631" s="1420"/>
      <c r="AD631" s="1421"/>
      <c r="AE631" s="1422"/>
      <c r="AF631" s="1510"/>
      <c r="AG631" s="1511"/>
      <c r="AH631" s="1511"/>
      <c r="AI631" s="1511"/>
      <c r="AJ631" s="1512"/>
      <c r="AK631" s="1513"/>
      <c r="AL631" s="1514"/>
      <c r="AM631" s="1514"/>
      <c r="AN631" s="1515"/>
      <c r="AO631" s="1506">
        <v>1000000</v>
      </c>
      <c r="AP631" s="1380"/>
      <c r="AQ631" s="1380"/>
      <c r="AR631" s="1380"/>
      <c r="AS631" s="1381"/>
      <c r="AT631" s="1148" t="str">
        <f t="shared" si="1"/>
        <v/>
      </c>
      <c r="AU631" s="3"/>
      <c r="AZ631" s="3"/>
      <c r="BA631" s="3"/>
      <c r="BB631" s="3"/>
      <c r="BC631" s="3"/>
      <c r="BD631" s="3"/>
    </row>
    <row r="632" spans="2:157" ht="12.9" customHeight="1">
      <c r="B632" s="52" t="s">
        <v>585</v>
      </c>
      <c r="C632" s="1521" t="s">
        <v>2728</v>
      </c>
      <c r="D632" s="1521"/>
      <c r="E632" s="1521"/>
      <c r="F632" s="1521"/>
      <c r="G632" s="1521"/>
      <c r="H632" s="1521"/>
      <c r="I632" s="1521"/>
      <c r="J632" s="1521"/>
      <c r="K632" s="1521"/>
      <c r="L632" s="1521"/>
      <c r="M632" s="1363" t="s">
        <v>2114</v>
      </c>
      <c r="N632" s="1363"/>
      <c r="O632" s="1363"/>
      <c r="P632" s="1363"/>
      <c r="Q632" s="1364">
        <v>660</v>
      </c>
      <c r="R632" s="1365"/>
      <c r="S632" s="1366"/>
      <c r="T632" s="1364">
        <v>660</v>
      </c>
      <c r="U632" s="1365"/>
      <c r="V632" s="1366"/>
      <c r="W632" s="1367">
        <v>0.03</v>
      </c>
      <c r="X632" s="1368"/>
      <c r="Y632" s="1369"/>
      <c r="Z632" s="1507" t="s">
        <v>1185</v>
      </c>
      <c r="AA632" s="1508"/>
      <c r="AB632" s="1509"/>
      <c r="AC632" s="1420"/>
      <c r="AD632" s="1421"/>
      <c r="AE632" s="1422"/>
      <c r="AF632" s="1510"/>
      <c r="AG632" s="1511"/>
      <c r="AH632" s="1511"/>
      <c r="AI632" s="1511"/>
      <c r="AJ632" s="1512"/>
      <c r="AK632" s="1513"/>
      <c r="AL632" s="1514"/>
      <c r="AM632" s="1514"/>
      <c r="AN632" s="1515"/>
      <c r="AO632" s="1506">
        <v>2000000</v>
      </c>
      <c r="AP632" s="1380"/>
      <c r="AQ632" s="1380"/>
      <c r="AR632" s="1380"/>
      <c r="AS632" s="1381"/>
      <c r="AT632" s="1148" t="str">
        <f t="shared" si="1"/>
        <v/>
      </c>
      <c r="AU632" s="3"/>
      <c r="AZ632" s="3"/>
      <c r="BA632" s="3"/>
      <c r="BB632" s="3"/>
      <c r="BC632" s="3"/>
      <c r="BD632" s="3"/>
    </row>
    <row r="633" spans="2:157" ht="12.9" customHeight="1">
      <c r="B633" s="52" t="s">
        <v>456</v>
      </c>
      <c r="C633" s="1346" t="s">
        <v>2738</v>
      </c>
      <c r="D633" s="1521"/>
      <c r="E633" s="1521"/>
      <c r="F633" s="1521"/>
      <c r="G633" s="1521"/>
      <c r="H633" s="1521"/>
      <c r="I633" s="1521"/>
      <c r="J633" s="1521"/>
      <c r="K633" s="1521"/>
      <c r="L633" s="1521"/>
      <c r="M633" s="1363" t="s">
        <v>2114</v>
      </c>
      <c r="N633" s="1363"/>
      <c r="O633" s="1363"/>
      <c r="P633" s="1363"/>
      <c r="Q633" s="1526">
        <v>660</v>
      </c>
      <c r="R633" s="1527"/>
      <c r="S633" s="1528"/>
      <c r="T633" s="1526">
        <v>660</v>
      </c>
      <c r="U633" s="1527"/>
      <c r="V633" s="1528"/>
      <c r="W633" s="1333">
        <v>0.03</v>
      </c>
      <c r="X633" s="1334"/>
      <c r="Y633" s="1335"/>
      <c r="Z633" s="1507" t="s">
        <v>458</v>
      </c>
      <c r="AA633" s="1508"/>
      <c r="AB633" s="1509"/>
      <c r="AC633" s="1420"/>
      <c r="AD633" s="1421"/>
      <c r="AE633" s="1422"/>
      <c r="AF633" s="1510"/>
      <c r="AG633" s="1511"/>
      <c r="AH633" s="1511"/>
      <c r="AI633" s="1511"/>
      <c r="AJ633" s="1512"/>
      <c r="AK633" s="1513"/>
      <c r="AL633" s="1514"/>
      <c r="AM633" s="1514"/>
      <c r="AN633" s="1515"/>
      <c r="AO633" s="1506">
        <v>4000000</v>
      </c>
      <c r="AP633" s="1380"/>
      <c r="AQ633" s="1380"/>
      <c r="AR633" s="1380"/>
      <c r="AS633" s="1381"/>
      <c r="AT633" s="1148" t="str">
        <f t="shared" si="1"/>
        <v/>
      </c>
      <c r="AU633" s="3"/>
      <c r="AV633" s="3"/>
      <c r="AW633" s="3"/>
      <c r="AX633" s="3"/>
      <c r="AY633" s="3"/>
      <c r="AZ633" s="3"/>
      <c r="BA633" s="3"/>
      <c r="BB633" s="3"/>
      <c r="BC633" s="3"/>
      <c r="BD633" s="3"/>
    </row>
    <row r="634" spans="2:157" ht="12.9" customHeight="1">
      <c r="B634" s="52" t="s">
        <v>457</v>
      </c>
      <c r="C634" s="1521"/>
      <c r="D634" s="1521"/>
      <c r="E634" s="1521"/>
      <c r="F634" s="1521"/>
      <c r="G634" s="1521"/>
      <c r="H634" s="1521"/>
      <c r="I634" s="1521"/>
      <c r="J634" s="1521"/>
      <c r="K634" s="1521"/>
      <c r="L634" s="1521"/>
      <c r="M634" s="1332" t="s">
        <v>1185</v>
      </c>
      <c r="N634" s="1332"/>
      <c r="O634" s="1332"/>
      <c r="P634" s="1332"/>
      <c r="Q634" s="1526"/>
      <c r="R634" s="1527"/>
      <c r="S634" s="1528"/>
      <c r="T634" s="1526"/>
      <c r="U634" s="1527"/>
      <c r="V634" s="1528"/>
      <c r="W634" s="1333"/>
      <c r="X634" s="1334"/>
      <c r="Y634" s="1335"/>
      <c r="Z634" s="1507" t="s">
        <v>1185</v>
      </c>
      <c r="AA634" s="1508"/>
      <c r="AB634" s="1509"/>
      <c r="AC634" s="1420"/>
      <c r="AD634" s="1421"/>
      <c r="AE634" s="1422"/>
      <c r="AF634" s="1510"/>
      <c r="AG634" s="1511"/>
      <c r="AH634" s="1511"/>
      <c r="AI634" s="1511"/>
      <c r="AJ634" s="1512"/>
      <c r="AK634" s="1513"/>
      <c r="AL634" s="1514"/>
      <c r="AM634" s="1514"/>
      <c r="AN634" s="1515"/>
      <c r="AO634" s="1506"/>
      <c r="AP634" s="1380"/>
      <c r="AQ634" s="1380"/>
      <c r="AR634" s="1380"/>
      <c r="AS634" s="1381"/>
      <c r="AT634" s="1148" t="str">
        <f t="shared" si="1"/>
        <v/>
      </c>
      <c r="AU634" s="3"/>
      <c r="AV634" s="3"/>
      <c r="AW634" s="3"/>
      <c r="AX634" s="3"/>
      <c r="AY634" s="3"/>
      <c r="AZ634" s="3"/>
      <c r="BA634" s="3" t="s">
        <v>1185</v>
      </c>
      <c r="BB634" s="3"/>
      <c r="BC634" s="3"/>
      <c r="BD634" s="3"/>
    </row>
    <row r="635" spans="2:157" ht="12.9" customHeight="1">
      <c r="B635" s="52" t="s">
        <v>462</v>
      </c>
      <c r="C635" s="1521"/>
      <c r="D635" s="1521"/>
      <c r="E635" s="1521"/>
      <c r="F635" s="1521"/>
      <c r="G635" s="1521"/>
      <c r="H635" s="1521"/>
      <c r="I635" s="1521"/>
      <c r="J635" s="1521"/>
      <c r="K635" s="1521"/>
      <c r="L635" s="1521"/>
      <c r="M635" s="1332" t="s">
        <v>1185</v>
      </c>
      <c r="N635" s="1332"/>
      <c r="O635" s="1332"/>
      <c r="P635" s="1332"/>
      <c r="Q635" s="1526"/>
      <c r="R635" s="1527"/>
      <c r="S635" s="1528"/>
      <c r="T635" s="1526"/>
      <c r="U635" s="1527"/>
      <c r="V635" s="1528"/>
      <c r="W635" s="1333"/>
      <c r="X635" s="1334"/>
      <c r="Y635" s="1335"/>
      <c r="Z635" s="1507" t="s">
        <v>1185</v>
      </c>
      <c r="AA635" s="1508"/>
      <c r="AB635" s="1509"/>
      <c r="AC635" s="1420"/>
      <c r="AD635" s="1421"/>
      <c r="AE635" s="1422"/>
      <c r="AF635" s="1510"/>
      <c r="AG635" s="1511"/>
      <c r="AH635" s="1511"/>
      <c r="AI635" s="1511"/>
      <c r="AJ635" s="1512"/>
      <c r="AK635" s="1513"/>
      <c r="AL635" s="1514"/>
      <c r="AM635" s="1514"/>
      <c r="AN635" s="1515"/>
      <c r="AO635" s="1506"/>
      <c r="AP635" s="1380"/>
      <c r="AQ635" s="1380"/>
      <c r="AR635" s="1380"/>
      <c r="AS635" s="1381"/>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08">
        <f t="shared" ref="DX635:DX669" si="2">EZ718*(CP718/$CP$753)</f>
        <v>160.33333333333331</v>
      </c>
      <c r="DY635" s="1408"/>
      <c r="DZ635" s="1408"/>
      <c r="EA635" s="1408"/>
      <c r="EB635" s="1408"/>
      <c r="EC635" s="1408" t="e">
        <f t="shared" ref="EC635:EC669" si="3">FE718*(CU718/$CU$753)</f>
        <v>#VALUE!</v>
      </c>
      <c r="ED635" s="1408"/>
      <c r="EE635" s="1408"/>
      <c r="EF635" s="1408"/>
      <c r="EG635" s="1408"/>
      <c r="EH635" s="1408" t="e">
        <f t="shared" ref="EH635:EH669" si="4">FJ718*(CZ718/$CZ$753)</f>
        <v>#VALUE!</v>
      </c>
      <c r="EI635" s="1408"/>
      <c r="EJ635" s="1408"/>
      <c r="EK635" s="1408"/>
      <c r="EL635" s="1408"/>
      <c r="EM635" s="1408" t="e">
        <f t="shared" ref="EM635:EM669" si="5">FO718*(DE718/$DE$753)</f>
        <v>#VALUE!</v>
      </c>
      <c r="EN635" s="1408"/>
      <c r="EO635" s="1408"/>
      <c r="EP635" s="1408"/>
      <c r="EQ635" s="1408"/>
      <c r="ER635" s="1408" t="e">
        <f t="shared" ref="ER635:ER669" si="6">FT718*(DJ718/$DJ$753)</f>
        <v>#VALUE!</v>
      </c>
      <c r="ES635" s="1408"/>
      <c r="ET635" s="1408"/>
      <c r="EU635" s="1408"/>
      <c r="EV635" s="1408"/>
      <c r="EW635" s="1408" t="e">
        <f t="shared" ref="EW635:EW669" si="7">FY718*(DO718/$DO$753)</f>
        <v>#VALUE!</v>
      </c>
      <c r="EX635" s="1408"/>
      <c r="EY635" s="1408"/>
      <c r="EZ635" s="1408"/>
      <c r="FA635" s="1408"/>
    </row>
    <row r="636" spans="2:157" ht="12.9" customHeight="1">
      <c r="B636" s="52" t="s">
        <v>647</v>
      </c>
      <c r="C636" s="1521"/>
      <c r="D636" s="1521"/>
      <c r="E636" s="1521"/>
      <c r="F636" s="1521"/>
      <c r="G636" s="1521"/>
      <c r="H636" s="1521"/>
      <c r="I636" s="1521"/>
      <c r="J636" s="1521"/>
      <c r="K636" s="1521"/>
      <c r="L636" s="1521"/>
      <c r="M636" s="1332" t="s">
        <v>1185</v>
      </c>
      <c r="N636" s="1332"/>
      <c r="O636" s="1332"/>
      <c r="P636" s="1332"/>
      <c r="Q636" s="1526"/>
      <c r="R636" s="1527"/>
      <c r="S636" s="1528"/>
      <c r="T636" s="1526"/>
      <c r="U636" s="1527"/>
      <c r="V636" s="1528"/>
      <c r="W636" s="1333"/>
      <c r="X636" s="1334"/>
      <c r="Y636" s="1335"/>
      <c r="Z636" s="1507" t="s">
        <v>1185</v>
      </c>
      <c r="AA636" s="1508"/>
      <c r="AB636" s="1509"/>
      <c r="AC636" s="1420"/>
      <c r="AD636" s="1421"/>
      <c r="AE636" s="1422"/>
      <c r="AF636" s="1510"/>
      <c r="AG636" s="1511"/>
      <c r="AH636" s="1511"/>
      <c r="AI636" s="1511"/>
      <c r="AJ636" s="1512"/>
      <c r="AK636" s="1513"/>
      <c r="AL636" s="1514"/>
      <c r="AM636" s="1514"/>
      <c r="AN636" s="1515"/>
      <c r="AO636" s="1506"/>
      <c r="AP636" s="1380"/>
      <c r="AQ636" s="1380"/>
      <c r="AR636" s="1380"/>
      <c r="AS636" s="1381"/>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08">
        <f t="shared" si="2"/>
        <v>540</v>
      </c>
      <c r="DY636" s="1408"/>
      <c r="DZ636" s="1408"/>
      <c r="EA636" s="1408"/>
      <c r="EB636" s="1408"/>
      <c r="EC636" s="1408" t="e">
        <f t="shared" si="3"/>
        <v>#VALUE!</v>
      </c>
      <c r="ED636" s="1408"/>
      <c r="EE636" s="1408"/>
      <c r="EF636" s="1408"/>
      <c r="EG636" s="1408"/>
      <c r="EH636" s="1408" t="e">
        <f t="shared" si="4"/>
        <v>#VALUE!</v>
      </c>
      <c r="EI636" s="1408"/>
      <c r="EJ636" s="1408"/>
      <c r="EK636" s="1408"/>
      <c r="EL636" s="1408"/>
      <c r="EM636" s="1408" t="e">
        <f t="shared" si="5"/>
        <v>#VALUE!</v>
      </c>
      <c r="EN636" s="1408"/>
      <c r="EO636" s="1408"/>
      <c r="EP636" s="1408"/>
      <c r="EQ636" s="1408"/>
      <c r="ER636" s="1408" t="e">
        <f t="shared" si="6"/>
        <v>#VALUE!</v>
      </c>
      <c r="ES636" s="1408"/>
      <c r="ET636" s="1408"/>
      <c r="EU636" s="1408"/>
      <c r="EV636" s="1408"/>
      <c r="EW636" s="1408" t="e">
        <f t="shared" si="7"/>
        <v>#VALUE!</v>
      </c>
      <c r="EX636" s="1408"/>
      <c r="EY636" s="1408"/>
      <c r="EZ636" s="1408"/>
      <c r="FA636" s="1408"/>
    </row>
    <row r="637" spans="2:157" ht="12.9" customHeight="1">
      <c r="B637" s="52" t="s">
        <v>362</v>
      </c>
      <c r="C637" s="1521"/>
      <c r="D637" s="1521"/>
      <c r="E637" s="1521"/>
      <c r="F637" s="1521"/>
      <c r="G637" s="1521"/>
      <c r="H637" s="1521"/>
      <c r="I637" s="1521"/>
      <c r="J637" s="1521"/>
      <c r="K637" s="1521"/>
      <c r="L637" s="1521"/>
      <c r="M637" s="1332" t="s">
        <v>1185</v>
      </c>
      <c r="N637" s="1332"/>
      <c r="O637" s="1332"/>
      <c r="P637" s="1332"/>
      <c r="Q637" s="1526"/>
      <c r="R637" s="1527"/>
      <c r="S637" s="1528"/>
      <c r="T637" s="1526"/>
      <c r="U637" s="1527"/>
      <c r="V637" s="1528"/>
      <c r="W637" s="1333"/>
      <c r="X637" s="1334"/>
      <c r="Y637" s="1335"/>
      <c r="Z637" s="1507" t="s">
        <v>1185</v>
      </c>
      <c r="AA637" s="1508"/>
      <c r="AB637" s="1509"/>
      <c r="AC637" s="1420"/>
      <c r="AD637" s="1421"/>
      <c r="AE637" s="1422"/>
      <c r="AF637" s="1510"/>
      <c r="AG637" s="1511"/>
      <c r="AH637" s="1511"/>
      <c r="AI637" s="1511"/>
      <c r="AJ637" s="1512"/>
      <c r="AK637" s="1513"/>
      <c r="AL637" s="1514"/>
      <c r="AM637" s="1514"/>
      <c r="AN637" s="1515"/>
      <c r="AO637" s="1506"/>
      <c r="AP637" s="1380"/>
      <c r="AQ637" s="1380"/>
      <c r="AR637" s="1380"/>
      <c r="AS637" s="138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08" t="e">
        <f t="shared" si="2"/>
        <v>#VALUE!</v>
      </c>
      <c r="DY637" s="1408"/>
      <c r="DZ637" s="1408"/>
      <c r="EA637" s="1408"/>
      <c r="EB637" s="1408"/>
      <c r="EC637" s="1408">
        <f t="shared" si="3"/>
        <v>57.333333333333329</v>
      </c>
      <c r="ED637" s="1408"/>
      <c r="EE637" s="1408"/>
      <c r="EF637" s="1408"/>
      <c r="EG637" s="1408"/>
      <c r="EH637" s="1408" t="e">
        <f t="shared" si="4"/>
        <v>#VALUE!</v>
      </c>
      <c r="EI637" s="1408"/>
      <c r="EJ637" s="1408"/>
      <c r="EK637" s="1408"/>
      <c r="EL637" s="1408"/>
      <c r="EM637" s="1408" t="e">
        <f t="shared" si="5"/>
        <v>#VALUE!</v>
      </c>
      <c r="EN637" s="1408"/>
      <c r="EO637" s="1408"/>
      <c r="EP637" s="1408"/>
      <c r="EQ637" s="1408"/>
      <c r="ER637" s="1408" t="e">
        <f t="shared" si="6"/>
        <v>#VALUE!</v>
      </c>
      <c r="ES637" s="1408"/>
      <c r="ET637" s="1408"/>
      <c r="EU637" s="1408"/>
      <c r="EV637" s="1408"/>
      <c r="EW637" s="1408" t="e">
        <f t="shared" si="7"/>
        <v>#VALUE!</v>
      </c>
      <c r="EX637" s="1408"/>
      <c r="EY637" s="1408"/>
      <c r="EZ637" s="1408"/>
      <c r="FA637" s="1408"/>
    </row>
    <row r="638" spans="2:157" ht="12.9" customHeight="1">
      <c r="B638" s="52" t="s">
        <v>363</v>
      </c>
      <c r="C638" s="1521"/>
      <c r="D638" s="1521"/>
      <c r="E638" s="1521"/>
      <c r="F638" s="1521"/>
      <c r="G638" s="1521"/>
      <c r="H638" s="1521"/>
      <c r="I638" s="1521"/>
      <c r="J638" s="1521"/>
      <c r="K638" s="1521"/>
      <c r="L638" s="1521"/>
      <c r="M638" s="1332" t="s">
        <v>1185</v>
      </c>
      <c r="N638" s="1332"/>
      <c r="O638" s="1332"/>
      <c r="P638" s="1332"/>
      <c r="Q638" s="1526"/>
      <c r="R638" s="1527"/>
      <c r="S638" s="1528"/>
      <c r="T638" s="1526"/>
      <c r="U638" s="1527"/>
      <c r="V638" s="1528"/>
      <c r="W638" s="1333"/>
      <c r="X638" s="1334"/>
      <c r="Y638" s="1335"/>
      <c r="Z638" s="1507" t="s">
        <v>1185</v>
      </c>
      <c r="AA638" s="1508"/>
      <c r="AB638" s="1509"/>
      <c r="AC638" s="1420"/>
      <c r="AD638" s="1421"/>
      <c r="AE638" s="1422"/>
      <c r="AF638" s="1510"/>
      <c r="AG638" s="1511"/>
      <c r="AH638" s="1511"/>
      <c r="AI638" s="1511"/>
      <c r="AJ638" s="1512"/>
      <c r="AK638" s="1513"/>
      <c r="AL638" s="1514"/>
      <c r="AM638" s="1514"/>
      <c r="AN638" s="1515"/>
      <c r="AO638" s="1506"/>
      <c r="AP638" s="1380"/>
      <c r="AQ638" s="1380"/>
      <c r="AR638" s="1380"/>
      <c r="AS638" s="138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08" t="e">
        <f t="shared" si="2"/>
        <v>#VALUE!</v>
      </c>
      <c r="DY638" s="1408"/>
      <c r="DZ638" s="1408"/>
      <c r="EA638" s="1408"/>
      <c r="EB638" s="1408"/>
      <c r="EC638" s="1408">
        <f t="shared" si="3"/>
        <v>241.38888888888889</v>
      </c>
      <c r="ED638" s="1408"/>
      <c r="EE638" s="1408"/>
      <c r="EF638" s="1408"/>
      <c r="EG638" s="1408"/>
      <c r="EH638" s="1408" t="e">
        <f t="shared" si="4"/>
        <v>#VALUE!</v>
      </c>
      <c r="EI638" s="1408"/>
      <c r="EJ638" s="1408"/>
      <c r="EK638" s="1408"/>
      <c r="EL638" s="1408"/>
      <c r="EM638" s="1408" t="e">
        <f t="shared" si="5"/>
        <v>#VALUE!</v>
      </c>
      <c r="EN638" s="1408"/>
      <c r="EO638" s="1408"/>
      <c r="EP638" s="1408"/>
      <c r="EQ638" s="1408"/>
      <c r="ER638" s="1408" t="e">
        <f t="shared" si="6"/>
        <v>#VALUE!</v>
      </c>
      <c r="ES638" s="1408"/>
      <c r="ET638" s="1408"/>
      <c r="EU638" s="1408"/>
      <c r="EV638" s="1408"/>
      <c r="EW638" s="1408" t="e">
        <f t="shared" si="7"/>
        <v>#VALUE!</v>
      </c>
      <c r="EX638" s="1408"/>
      <c r="EY638" s="1408"/>
      <c r="EZ638" s="1408"/>
      <c r="FA638" s="1408"/>
    </row>
    <row r="639" spans="2:157" ht="12.9" customHeight="1">
      <c r="B639" s="1516" t="s">
        <v>128</v>
      </c>
      <c r="C639" s="1517"/>
      <c r="D639" s="1517"/>
      <c r="E639" s="1517"/>
      <c r="F639" s="1517"/>
      <c r="G639" s="1517"/>
      <c r="H639" s="1517"/>
      <c r="I639" s="1517"/>
      <c r="J639" s="1517"/>
      <c r="K639" s="1517"/>
      <c r="L639" s="1517"/>
      <c r="M639" s="1517"/>
      <c r="N639" s="1517"/>
      <c r="O639" s="1517"/>
      <c r="P639" s="1517"/>
      <c r="Q639" s="1517"/>
      <c r="R639" s="1517"/>
      <c r="S639" s="1517"/>
      <c r="T639" s="1517"/>
      <c r="U639" s="1517"/>
      <c r="V639" s="1517"/>
      <c r="W639" s="1517"/>
      <c r="X639" s="1517"/>
      <c r="Y639" s="1517"/>
      <c r="Z639" s="1517"/>
      <c r="AA639" s="1517"/>
      <c r="AB639" s="1517"/>
      <c r="AC639" s="1517"/>
      <c r="AD639" s="1517"/>
      <c r="AE639" s="1517"/>
      <c r="AF639" s="1517"/>
      <c r="AG639" s="1517"/>
      <c r="AH639" s="1517"/>
      <c r="AI639" s="1517"/>
      <c r="AJ639" s="1517"/>
      <c r="AK639" s="1517"/>
      <c r="AL639" s="1517"/>
      <c r="AM639" s="1517"/>
      <c r="AN639" s="1519"/>
      <c r="AO639" s="1503">
        <f>SUM(AO627:AR638)</f>
        <v>25857783</v>
      </c>
      <c r="AP639" s="1504"/>
      <c r="AQ639" s="1504"/>
      <c r="AR639" s="1504"/>
      <c r="AS639" s="150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08" t="e">
        <f t="shared" si="2"/>
        <v>#VALUE!</v>
      </c>
      <c r="DY639" s="1408"/>
      <c r="DZ639" s="1408"/>
      <c r="EA639" s="1408"/>
      <c r="EB639" s="1408"/>
      <c r="EC639" s="1408">
        <f t="shared" si="3"/>
        <v>116.1111111111111</v>
      </c>
      <c r="ED639" s="1408"/>
      <c r="EE639" s="1408"/>
      <c r="EF639" s="1408"/>
      <c r="EG639" s="1408"/>
      <c r="EH639" s="1408" t="e">
        <f t="shared" si="4"/>
        <v>#VALUE!</v>
      </c>
      <c r="EI639" s="1408"/>
      <c r="EJ639" s="1408"/>
      <c r="EK639" s="1408"/>
      <c r="EL639" s="1408"/>
      <c r="EM639" s="1408" t="e">
        <f t="shared" si="5"/>
        <v>#VALUE!</v>
      </c>
      <c r="EN639" s="1408"/>
      <c r="EO639" s="1408"/>
      <c r="EP639" s="1408"/>
      <c r="EQ639" s="1408"/>
      <c r="ER639" s="1408" t="e">
        <f t="shared" si="6"/>
        <v>#VALUE!</v>
      </c>
      <c r="ES639" s="1408"/>
      <c r="ET639" s="1408"/>
      <c r="EU639" s="1408"/>
      <c r="EV639" s="1408"/>
      <c r="EW639" s="1408" t="e">
        <f t="shared" si="7"/>
        <v>#VALUE!</v>
      </c>
      <c r="EX639" s="1408"/>
      <c r="EY639" s="1408"/>
      <c r="EZ639" s="1408"/>
      <c r="FA639" s="1408"/>
    </row>
    <row r="640" spans="2:157" ht="12.9" customHeight="1">
      <c r="B640" s="1516" t="s">
        <v>267</v>
      </c>
      <c r="C640" s="1517"/>
      <c r="D640" s="1517"/>
      <c r="E640" s="1517"/>
      <c r="F640" s="1517"/>
      <c r="G640" s="1517"/>
      <c r="H640" s="1517"/>
      <c r="I640" s="1517"/>
      <c r="J640" s="1517"/>
      <c r="K640" s="1517"/>
      <c r="L640" s="1517"/>
      <c r="M640" s="1517"/>
      <c r="N640" s="1517"/>
      <c r="O640" s="1517"/>
      <c r="P640" s="1517"/>
      <c r="Q640" s="1517"/>
      <c r="R640" s="1517"/>
      <c r="S640" s="1517"/>
      <c r="T640" s="1517"/>
      <c r="U640" s="1517"/>
      <c r="V640" s="1517"/>
      <c r="W640" s="1517"/>
      <c r="X640" s="1517"/>
      <c r="Y640" s="1517"/>
      <c r="Z640" s="1517"/>
      <c r="AA640" s="1517"/>
      <c r="AB640" s="1517"/>
      <c r="AC640" s="1517"/>
      <c r="AD640" s="1517"/>
      <c r="AE640" s="1517"/>
      <c r="AF640" s="1517"/>
      <c r="AG640" s="1517"/>
      <c r="AH640" s="1517"/>
      <c r="AI640" s="1517"/>
      <c r="AJ640" s="1517"/>
      <c r="AK640" s="1517"/>
      <c r="AL640" s="1517"/>
      <c r="AM640" s="1517"/>
      <c r="AN640" s="1519"/>
      <c r="AO640" s="1506">
        <v>15893011</v>
      </c>
      <c r="AP640" s="1380"/>
      <c r="AQ640" s="1380"/>
      <c r="AR640" s="1380"/>
      <c r="AS640" s="138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08" t="e">
        <f t="shared" si="2"/>
        <v>#VALUE!</v>
      </c>
      <c r="DY640" s="1408"/>
      <c r="DZ640" s="1408"/>
      <c r="EA640" s="1408"/>
      <c r="EB640" s="1408"/>
      <c r="EC640" s="1408">
        <f t="shared" si="3"/>
        <v>610.5</v>
      </c>
      <c r="ED640" s="1408"/>
      <c r="EE640" s="1408"/>
      <c r="EF640" s="1408"/>
      <c r="EG640" s="1408"/>
      <c r="EH640" s="1408" t="e">
        <f t="shared" si="4"/>
        <v>#VALUE!</v>
      </c>
      <c r="EI640" s="1408"/>
      <c r="EJ640" s="1408"/>
      <c r="EK640" s="1408"/>
      <c r="EL640" s="1408"/>
      <c r="EM640" s="1408" t="e">
        <f t="shared" si="5"/>
        <v>#VALUE!</v>
      </c>
      <c r="EN640" s="1408"/>
      <c r="EO640" s="1408"/>
      <c r="EP640" s="1408"/>
      <c r="EQ640" s="1408"/>
      <c r="ER640" s="1408" t="e">
        <f t="shared" si="6"/>
        <v>#VALUE!</v>
      </c>
      <c r="ES640" s="1408"/>
      <c r="ET640" s="1408"/>
      <c r="EU640" s="1408"/>
      <c r="EV640" s="1408"/>
      <c r="EW640" s="1408" t="e">
        <f t="shared" si="7"/>
        <v>#VALUE!</v>
      </c>
      <c r="EX640" s="1408"/>
      <c r="EY640" s="1408"/>
      <c r="EZ640" s="1408"/>
      <c r="FA640" s="1408"/>
    </row>
    <row r="641" spans="1:157" ht="12.9" customHeight="1">
      <c r="B641" s="1702" t="s">
        <v>268</v>
      </c>
      <c r="C641" s="1518"/>
      <c r="D641" s="1518"/>
      <c r="E641" s="1518"/>
      <c r="F641" s="1518"/>
      <c r="G641" s="1518"/>
      <c r="H641" s="1518"/>
      <c r="I641" s="1518"/>
      <c r="J641" s="1518"/>
      <c r="K641" s="1518"/>
      <c r="L641" s="1518"/>
      <c r="M641" s="1518"/>
      <c r="N641" s="1518"/>
      <c r="O641" s="1518"/>
      <c r="P641" s="1518"/>
      <c r="Q641" s="1518"/>
      <c r="R641" s="1518"/>
      <c r="S641" s="1518"/>
      <c r="T641" s="1518"/>
      <c r="U641" s="1518"/>
      <c r="V641" s="1518"/>
      <c r="W641" s="1518"/>
      <c r="X641" s="1518"/>
      <c r="Y641" s="1518"/>
      <c r="Z641" s="1518"/>
      <c r="AA641" s="1518"/>
      <c r="AB641" s="1518"/>
      <c r="AC641" s="1518"/>
      <c r="AD641" s="1518"/>
      <c r="AE641" s="1518"/>
      <c r="AF641" s="1518"/>
      <c r="AG641" s="1518"/>
      <c r="AH641" s="1518"/>
      <c r="AI641" s="1518"/>
      <c r="AJ641" s="1518"/>
      <c r="AK641" s="1518"/>
      <c r="AL641" s="1518"/>
      <c r="AM641" s="1518"/>
      <c r="AN641" s="1703"/>
      <c r="AO641" s="1503">
        <f>AO639+AO640</f>
        <v>41750794</v>
      </c>
      <c r="AP641" s="1504"/>
      <c r="AQ641" s="1504"/>
      <c r="AR641" s="1504"/>
      <c r="AS641" s="150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08" t="e">
        <f t="shared" si="2"/>
        <v>#VALUE!</v>
      </c>
      <c r="DY641" s="1408"/>
      <c r="DZ641" s="1408"/>
      <c r="EA641" s="1408"/>
      <c r="EB641" s="1408"/>
      <c r="EC641" s="1408" t="e">
        <f t="shared" si="3"/>
        <v>#VALUE!</v>
      </c>
      <c r="ED641" s="1408"/>
      <c r="EE641" s="1408"/>
      <c r="EF641" s="1408"/>
      <c r="EG641" s="1408"/>
      <c r="EH641" s="1408">
        <f t="shared" si="4"/>
        <v>51.833333333333329</v>
      </c>
      <c r="EI641" s="1408"/>
      <c r="EJ641" s="1408"/>
      <c r="EK641" s="1408"/>
      <c r="EL641" s="1408"/>
      <c r="EM641" s="1408" t="e">
        <f t="shared" si="5"/>
        <v>#VALUE!</v>
      </c>
      <c r="EN641" s="1408"/>
      <c r="EO641" s="1408"/>
      <c r="EP641" s="1408"/>
      <c r="EQ641" s="1408"/>
      <c r="ER641" s="1408" t="e">
        <f t="shared" si="6"/>
        <v>#VALUE!</v>
      </c>
      <c r="ES641" s="1408"/>
      <c r="ET641" s="1408"/>
      <c r="EU641" s="1408"/>
      <c r="EV641" s="1408"/>
      <c r="EW641" s="1408" t="e">
        <f t="shared" si="7"/>
        <v>#VALUE!</v>
      </c>
      <c r="EX641" s="1408"/>
      <c r="EY641" s="1408"/>
      <c r="EZ641" s="1408"/>
      <c r="FA641" s="1408"/>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08" t="e">
        <f t="shared" si="2"/>
        <v>#VALUE!</v>
      </c>
      <c r="DY642" s="1408"/>
      <c r="DZ642" s="1408"/>
      <c r="EA642" s="1408"/>
      <c r="EB642" s="1408"/>
      <c r="EC642" s="1408" t="e">
        <f t="shared" si="3"/>
        <v>#VALUE!</v>
      </c>
      <c r="ED642" s="1408"/>
      <c r="EE642" s="1408"/>
      <c r="EF642" s="1408"/>
      <c r="EG642" s="1408"/>
      <c r="EH642" s="1408">
        <f t="shared" si="4"/>
        <v>87.083333333333329</v>
      </c>
      <c r="EI642" s="1408"/>
      <c r="EJ642" s="1408"/>
      <c r="EK642" s="1408"/>
      <c r="EL642" s="1408"/>
      <c r="EM642" s="1408" t="e">
        <f t="shared" si="5"/>
        <v>#VALUE!</v>
      </c>
      <c r="EN642" s="1408"/>
      <c r="EO642" s="1408"/>
      <c r="EP642" s="1408"/>
      <c r="EQ642" s="1408"/>
      <c r="ER642" s="1408" t="e">
        <f t="shared" si="6"/>
        <v>#VALUE!</v>
      </c>
      <c r="ES642" s="1408"/>
      <c r="ET642" s="1408"/>
      <c r="EU642" s="1408"/>
      <c r="EV642" s="1408"/>
      <c r="EW642" s="1408" t="e">
        <f t="shared" si="7"/>
        <v>#VALUE!</v>
      </c>
      <c r="EX642" s="1408"/>
      <c r="EY642" s="1408"/>
      <c r="EZ642" s="1408"/>
      <c r="FA642" s="1408"/>
    </row>
    <row r="643" spans="1:157" ht="12.9" customHeight="1">
      <c r="A643" s="55" t="s">
        <v>112</v>
      </c>
      <c r="B643" t="s">
        <v>464</v>
      </c>
      <c r="G643" s="1336" t="str">
        <f>C627</f>
        <v>Citi Bank Perm Loan</v>
      </c>
      <c r="H643" s="1336"/>
      <c r="I643" s="1336"/>
      <c r="J643" s="1336"/>
      <c r="K643" s="1336"/>
      <c r="L643" s="1336"/>
      <c r="M643" s="1336"/>
      <c r="N643" s="1336"/>
      <c r="O643" s="1336"/>
      <c r="P643" s="1336"/>
      <c r="Q643" s="1336"/>
      <c r="R643" s="1336"/>
      <c r="S643" s="8"/>
      <c r="T643" s="55" t="s">
        <v>113</v>
      </c>
      <c r="U643" t="s">
        <v>464</v>
      </c>
      <c r="Z643" s="1336" t="str">
        <f>C628</f>
        <v xml:space="preserve">City of Eureka Land </v>
      </c>
      <c r="AA643" s="1336"/>
      <c r="AB643" s="1336"/>
      <c r="AC643" s="1336"/>
      <c r="AD643" s="1336"/>
      <c r="AE643" s="1336"/>
      <c r="AF643" s="1336"/>
      <c r="AG643" s="1336"/>
      <c r="AH643" s="1336"/>
      <c r="AI643" s="1336"/>
      <c r="AJ643" s="1336"/>
      <c r="AK643" s="133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08" t="e">
        <f t="shared" si="2"/>
        <v>#VALUE!</v>
      </c>
      <c r="DY643" s="1408"/>
      <c r="DZ643" s="1408"/>
      <c r="EA643" s="1408"/>
      <c r="EB643" s="1408"/>
      <c r="EC643" s="1408" t="e">
        <f t="shared" si="3"/>
        <v>#VALUE!</v>
      </c>
      <c r="ED643" s="1408"/>
      <c r="EE643" s="1408"/>
      <c r="EF643" s="1408"/>
      <c r="EG643" s="1408"/>
      <c r="EH643" s="1408">
        <f t="shared" si="4"/>
        <v>174.16666666666666</v>
      </c>
      <c r="EI643" s="1408"/>
      <c r="EJ643" s="1408"/>
      <c r="EK643" s="1408"/>
      <c r="EL643" s="1408"/>
      <c r="EM643" s="1408" t="e">
        <f t="shared" si="5"/>
        <v>#VALUE!</v>
      </c>
      <c r="EN643" s="1408"/>
      <c r="EO643" s="1408"/>
      <c r="EP643" s="1408"/>
      <c r="EQ643" s="1408"/>
      <c r="ER643" s="1408" t="e">
        <f t="shared" si="6"/>
        <v>#VALUE!</v>
      </c>
      <c r="ES643" s="1408"/>
      <c r="ET643" s="1408"/>
      <c r="EU643" s="1408"/>
      <c r="EV643" s="1408"/>
      <c r="EW643" s="1408" t="e">
        <f t="shared" si="7"/>
        <v>#VALUE!</v>
      </c>
      <c r="EX643" s="1408"/>
      <c r="EY643" s="1408"/>
      <c r="EZ643" s="1408"/>
      <c r="FA643" s="1408"/>
    </row>
    <row r="644" spans="1:157" ht="12.9" customHeight="1">
      <c r="A644" s="22"/>
      <c r="B644" t="s">
        <v>85</v>
      </c>
      <c r="G644" s="1341" t="s">
        <v>2696</v>
      </c>
      <c r="H644" s="1341"/>
      <c r="I644" s="1341"/>
      <c r="J644" s="1341"/>
      <c r="K644" s="1341"/>
      <c r="L644" s="1341"/>
      <c r="M644" s="1341"/>
      <c r="N644" s="1341"/>
      <c r="O644" s="1341"/>
      <c r="P644" s="1341"/>
      <c r="Q644" s="1341"/>
      <c r="R644" s="1341"/>
      <c r="S644" s="8"/>
      <c r="T644" s="22"/>
      <c r="U644" t="s">
        <v>85</v>
      </c>
      <c r="Z644" s="1341" t="s">
        <v>2636</v>
      </c>
      <c r="AA644" s="1341"/>
      <c r="AB644" s="1341"/>
      <c r="AC644" s="1341"/>
      <c r="AD644" s="1341"/>
      <c r="AE644" s="1341"/>
      <c r="AF644" s="1341"/>
      <c r="AG644" s="1341"/>
      <c r="AH644" s="1341"/>
      <c r="AI644" s="1341"/>
      <c r="AJ644" s="1341"/>
      <c r="AK644" s="1341"/>
      <c r="AV644" s="3"/>
      <c r="AW644" s="3"/>
      <c r="AX644" s="3"/>
      <c r="AY644" s="3"/>
      <c r="AZ644" s="3"/>
      <c r="BA644" s="3"/>
      <c r="BB644" s="3"/>
      <c r="BC644" s="3"/>
      <c r="BD644" s="3"/>
      <c r="BE644" s="3"/>
      <c r="BF644" s="3"/>
      <c r="BG644" s="3"/>
      <c r="BH644" s="3"/>
      <c r="BI644" s="3"/>
      <c r="BJ644" s="3"/>
      <c r="BK644" s="3"/>
      <c r="BL644" s="3"/>
      <c r="BM644" s="3"/>
      <c r="DX644" s="1408" t="e">
        <f t="shared" si="2"/>
        <v>#VALUE!</v>
      </c>
      <c r="DY644" s="1408"/>
      <c r="DZ644" s="1408"/>
      <c r="EA644" s="1408"/>
      <c r="EB644" s="1408"/>
      <c r="EC644" s="1408" t="e">
        <f t="shared" si="3"/>
        <v>#VALUE!</v>
      </c>
      <c r="ED644" s="1408"/>
      <c r="EE644" s="1408"/>
      <c r="EF644" s="1408"/>
      <c r="EG644" s="1408"/>
      <c r="EH644" s="1408">
        <f t="shared" si="4"/>
        <v>698.66666666666663</v>
      </c>
      <c r="EI644" s="1408"/>
      <c r="EJ644" s="1408"/>
      <c r="EK644" s="1408"/>
      <c r="EL644" s="1408"/>
      <c r="EM644" s="1408" t="e">
        <f t="shared" si="5"/>
        <v>#VALUE!</v>
      </c>
      <c r="EN644" s="1408"/>
      <c r="EO644" s="1408"/>
      <c r="EP644" s="1408"/>
      <c r="EQ644" s="1408"/>
      <c r="ER644" s="1408" t="e">
        <f t="shared" si="6"/>
        <v>#VALUE!</v>
      </c>
      <c r="ES644" s="1408"/>
      <c r="ET644" s="1408"/>
      <c r="EU644" s="1408"/>
      <c r="EV644" s="1408"/>
      <c r="EW644" s="1408" t="e">
        <f t="shared" si="7"/>
        <v>#VALUE!</v>
      </c>
      <c r="EX644" s="1408"/>
      <c r="EY644" s="1408"/>
      <c r="EZ644" s="1408"/>
      <c r="FA644" s="1408"/>
    </row>
    <row r="645" spans="1:157" ht="12.9" customHeight="1">
      <c r="A645" s="22"/>
      <c r="B645" t="s">
        <v>581</v>
      </c>
      <c r="G645" s="1341" t="s">
        <v>2697</v>
      </c>
      <c r="H645" s="1341"/>
      <c r="I645" s="1341"/>
      <c r="J645" s="1341"/>
      <c r="K645" s="1341"/>
      <c r="L645" s="1341"/>
      <c r="M645" s="1341"/>
      <c r="N645" s="1341"/>
      <c r="O645" s="1341"/>
      <c r="P645" s="1341"/>
      <c r="Q645" s="1341"/>
      <c r="R645" s="1341"/>
      <c r="T645" s="22"/>
      <c r="U645" t="s">
        <v>581</v>
      </c>
      <c r="Z645" s="1410" t="s">
        <v>2658</v>
      </c>
      <c r="AA645" s="1410"/>
      <c r="AB645" s="1410"/>
      <c r="AC645" s="1410"/>
      <c r="AD645" s="1410"/>
      <c r="AE645" s="1410"/>
      <c r="AF645" s="1410"/>
      <c r="AG645" s="1410"/>
      <c r="AH645" s="1410"/>
      <c r="AI645" s="1410"/>
      <c r="AJ645" s="1410"/>
      <c r="AK645" s="1410"/>
      <c r="AV645" s="3"/>
      <c r="AW645" s="3"/>
      <c r="AX645" s="3"/>
      <c r="AY645" s="3"/>
      <c r="AZ645" s="3"/>
      <c r="BA645" s="3"/>
      <c r="BB645" s="3"/>
      <c r="BC645" s="3"/>
      <c r="BD645" s="3"/>
      <c r="BE645" s="3"/>
      <c r="BF645" s="3"/>
      <c r="BG645" s="3"/>
      <c r="BH645" s="3"/>
      <c r="BI645" s="3"/>
      <c r="BJ645" s="3"/>
      <c r="BK645" s="3"/>
      <c r="BL645" s="3"/>
      <c r="BM645" s="3"/>
      <c r="DX645" s="1408" t="e">
        <f t="shared" si="2"/>
        <v>#VALUE!</v>
      </c>
      <c r="DY645" s="1408"/>
      <c r="DZ645" s="1408"/>
      <c r="EA645" s="1408"/>
      <c r="EB645" s="1408"/>
      <c r="EC645" s="1408" t="e">
        <f t="shared" si="3"/>
        <v>#VALUE!</v>
      </c>
      <c r="ED645" s="1408"/>
      <c r="EE645" s="1408"/>
      <c r="EF645" s="1408"/>
      <c r="EG645" s="1408"/>
      <c r="EH645" s="1408" t="e">
        <f t="shared" si="4"/>
        <v>#VALUE!</v>
      </c>
      <c r="EI645" s="1408"/>
      <c r="EJ645" s="1408"/>
      <c r="EK645" s="1408"/>
      <c r="EL645" s="1408"/>
      <c r="EM645" s="1408">
        <f t="shared" si="5"/>
        <v>60</v>
      </c>
      <c r="EN645" s="1408"/>
      <c r="EO645" s="1408"/>
      <c r="EP645" s="1408"/>
      <c r="EQ645" s="1408"/>
      <c r="ER645" s="1408" t="e">
        <f t="shared" si="6"/>
        <v>#VALUE!</v>
      </c>
      <c r="ES645" s="1408"/>
      <c r="ET645" s="1408"/>
      <c r="EU645" s="1408"/>
      <c r="EV645" s="1408"/>
      <c r="EW645" s="1408" t="e">
        <f t="shared" si="7"/>
        <v>#VALUE!</v>
      </c>
      <c r="EX645" s="1408"/>
      <c r="EY645" s="1408"/>
      <c r="EZ645" s="1408"/>
      <c r="FA645" s="1408"/>
    </row>
    <row r="646" spans="1:157" ht="12.9" customHeight="1">
      <c r="A646" s="22"/>
      <c r="B646" t="s">
        <v>17</v>
      </c>
      <c r="G646" s="1341" t="s">
        <v>2698</v>
      </c>
      <c r="H646" s="1341"/>
      <c r="I646" s="1341"/>
      <c r="J646" s="1341"/>
      <c r="K646" s="1341"/>
      <c r="L646" s="1341"/>
      <c r="M646" s="1341"/>
      <c r="N646" s="1341"/>
      <c r="O646" s="1341"/>
      <c r="P646" s="1341"/>
      <c r="Q646" s="1341"/>
      <c r="R646" s="1341"/>
      <c r="S646" s="8"/>
      <c r="T646" s="22"/>
      <c r="U646" t="s">
        <v>17</v>
      </c>
      <c r="Z646" s="1410" t="s">
        <v>2659</v>
      </c>
      <c r="AA646" s="1410"/>
      <c r="AB646" s="1410"/>
      <c r="AC646" s="1410"/>
      <c r="AD646" s="1410"/>
      <c r="AE646" s="1410"/>
      <c r="AF646" s="1410"/>
      <c r="AG646" s="1410"/>
      <c r="AH646" s="1410"/>
      <c r="AI646" s="1410"/>
      <c r="AJ646" s="1410"/>
      <c r="AK646" s="1410"/>
      <c r="AZ646" s="3"/>
      <c r="BA646" s="3"/>
      <c r="BB646" s="3"/>
      <c r="BC646" s="3"/>
      <c r="BD646" s="3"/>
      <c r="BE646" s="3"/>
      <c r="BF646" s="3"/>
      <c r="BG646" s="3"/>
      <c r="BH646" s="3"/>
      <c r="BI646" s="3"/>
      <c r="BJ646" s="3"/>
      <c r="BK646" s="3"/>
      <c r="BL646" s="3"/>
      <c r="BM646" s="3"/>
      <c r="DX646" s="1408" t="e">
        <f t="shared" si="2"/>
        <v>#VALUE!</v>
      </c>
      <c r="DY646" s="1408"/>
      <c r="DZ646" s="1408"/>
      <c r="EA646" s="1408"/>
      <c r="EB646" s="1408"/>
      <c r="EC646" s="1408" t="e">
        <f t="shared" si="3"/>
        <v>#VALUE!</v>
      </c>
      <c r="ED646" s="1408"/>
      <c r="EE646" s="1408"/>
      <c r="EF646" s="1408"/>
      <c r="EG646" s="1408"/>
      <c r="EH646" s="1408" t="e">
        <f t="shared" si="4"/>
        <v>#VALUE!</v>
      </c>
      <c r="EI646" s="1408"/>
      <c r="EJ646" s="1408"/>
      <c r="EK646" s="1408"/>
      <c r="EL646" s="1408"/>
      <c r="EM646" s="1408">
        <f t="shared" si="5"/>
        <v>195.83333333333331</v>
      </c>
      <c r="EN646" s="1408"/>
      <c r="EO646" s="1408"/>
      <c r="EP646" s="1408"/>
      <c r="EQ646" s="1408"/>
      <c r="ER646" s="1408" t="e">
        <f t="shared" si="6"/>
        <v>#VALUE!</v>
      </c>
      <c r="ES646" s="1408"/>
      <c r="ET646" s="1408"/>
      <c r="EU646" s="1408"/>
      <c r="EV646" s="1408"/>
      <c r="EW646" s="1408" t="e">
        <f t="shared" si="7"/>
        <v>#VALUE!</v>
      </c>
      <c r="EX646" s="1408"/>
      <c r="EY646" s="1408"/>
      <c r="EZ646" s="1408"/>
      <c r="FA646" s="1408"/>
    </row>
    <row r="647" spans="1:157" ht="12.9" customHeight="1">
      <c r="A647" s="22"/>
      <c r="B647" t="s">
        <v>316</v>
      </c>
      <c r="G647" s="1347" t="s">
        <v>2699</v>
      </c>
      <c r="H647" s="1347"/>
      <c r="I647" s="1347"/>
      <c r="J647" s="1347"/>
      <c r="K647" s="1347"/>
      <c r="L647" s="1347"/>
      <c r="O647" s="33" t="s">
        <v>206</v>
      </c>
      <c r="P647" s="1342"/>
      <c r="Q647" s="1342"/>
      <c r="R647" s="1342"/>
      <c r="S647" s="10"/>
      <c r="T647" s="22"/>
      <c r="U647" t="s">
        <v>316</v>
      </c>
      <c r="Z647" s="1347">
        <v>7078229000</v>
      </c>
      <c r="AA647" s="1347"/>
      <c r="AB647" s="1347"/>
      <c r="AC647" s="1347"/>
      <c r="AD647" s="1347"/>
      <c r="AE647" s="1347"/>
      <c r="AH647" s="33" t="s">
        <v>206</v>
      </c>
      <c r="AI647" s="1342"/>
      <c r="AJ647" s="1342"/>
      <c r="AK647" s="1342"/>
      <c r="AZ647" s="34"/>
      <c r="BA647" s="34"/>
      <c r="BB647" s="34"/>
      <c r="BC647" s="34"/>
      <c r="BD647" s="34"/>
      <c r="BE647" s="34"/>
      <c r="BF647" s="34"/>
      <c r="BG647" s="34"/>
      <c r="BH647" s="34"/>
      <c r="BI647" s="34"/>
      <c r="BJ647" s="34"/>
      <c r="BK647" s="34"/>
      <c r="BL647" s="34"/>
      <c r="BM647" s="34"/>
      <c r="DX647" s="1408" t="e">
        <f t="shared" si="2"/>
        <v>#VALUE!</v>
      </c>
      <c r="DY647" s="1408"/>
      <c r="DZ647" s="1408"/>
      <c r="EA647" s="1408"/>
      <c r="EB647" s="1408"/>
      <c r="EC647" s="1408" t="e">
        <f t="shared" si="3"/>
        <v>#VALUE!</v>
      </c>
      <c r="ED647" s="1408"/>
      <c r="EE647" s="1408"/>
      <c r="EF647" s="1408"/>
      <c r="EG647" s="1408"/>
      <c r="EH647" s="1408" t="e">
        <f t="shared" si="4"/>
        <v>#VALUE!</v>
      </c>
      <c r="EI647" s="1408"/>
      <c r="EJ647" s="1408"/>
      <c r="EK647" s="1408"/>
      <c r="EL647" s="1408"/>
      <c r="EM647" s="1408">
        <f t="shared" si="5"/>
        <v>881.25</v>
      </c>
      <c r="EN647" s="1408"/>
      <c r="EO647" s="1408"/>
      <c r="EP647" s="1408"/>
      <c r="EQ647" s="1408"/>
      <c r="ER647" s="1408" t="e">
        <f t="shared" si="6"/>
        <v>#VALUE!</v>
      </c>
      <c r="ES647" s="1408"/>
      <c r="ET647" s="1408"/>
      <c r="EU647" s="1408"/>
      <c r="EV647" s="1408"/>
      <c r="EW647" s="1408" t="e">
        <f t="shared" si="7"/>
        <v>#VALUE!</v>
      </c>
      <c r="EX647" s="1408"/>
      <c r="EY647" s="1408"/>
      <c r="EZ647" s="1408"/>
      <c r="FA647" s="1408"/>
    </row>
    <row r="648" spans="1:157" ht="12.9" customHeight="1">
      <c r="A648" s="22"/>
      <c r="B648" t="s">
        <v>18</v>
      </c>
      <c r="H648" s="1341" t="s">
        <v>2711</v>
      </c>
      <c r="I648" s="1341"/>
      <c r="J648" s="1341"/>
      <c r="K648" s="1341"/>
      <c r="L648" s="1341"/>
      <c r="M648" s="1341"/>
      <c r="N648" s="1341"/>
      <c r="O648" s="1341"/>
      <c r="P648" s="1341"/>
      <c r="Q648" s="1341"/>
      <c r="R648" s="1341"/>
      <c r="S648" s="8"/>
      <c r="T648" s="22"/>
      <c r="U648" t="s">
        <v>18</v>
      </c>
      <c r="AA648" s="1341" t="s">
        <v>2715</v>
      </c>
      <c r="AB648" s="1341"/>
      <c r="AC648" s="1341"/>
      <c r="AD648" s="1341"/>
      <c r="AE648" s="1341"/>
      <c r="AF648" s="1341"/>
      <c r="AG648" s="1341"/>
      <c r="AH648" s="1341"/>
      <c r="AI648" s="1341"/>
      <c r="AJ648" s="1341"/>
      <c r="AK648" s="1341"/>
      <c r="AZ648" s="34"/>
      <c r="BA648" s="34"/>
      <c r="BB648" s="34"/>
      <c r="BC648" s="34"/>
      <c r="BD648" s="34"/>
      <c r="BE648" s="34"/>
      <c r="BF648" s="34"/>
      <c r="BG648" s="34"/>
      <c r="BH648" s="34"/>
      <c r="BI648" s="34"/>
      <c r="BJ648" s="34"/>
      <c r="BK648" s="34"/>
      <c r="BL648" s="34"/>
      <c r="BM648" s="34"/>
      <c r="DX648" s="1408" t="e">
        <f t="shared" si="2"/>
        <v>#VALUE!</v>
      </c>
      <c r="DY648" s="1408"/>
      <c r="DZ648" s="1408"/>
      <c r="EA648" s="1408"/>
      <c r="EB648" s="1408"/>
      <c r="EC648" s="1408" t="e">
        <f t="shared" si="3"/>
        <v>#VALUE!</v>
      </c>
      <c r="ED648" s="1408"/>
      <c r="EE648" s="1408"/>
      <c r="EF648" s="1408"/>
      <c r="EG648" s="1408"/>
      <c r="EH648" s="1408" t="e">
        <f t="shared" si="4"/>
        <v>#VALUE!</v>
      </c>
      <c r="EI648" s="1408"/>
      <c r="EJ648" s="1408"/>
      <c r="EK648" s="1408"/>
      <c r="EL648" s="1408"/>
      <c r="EM648" s="1408" t="e">
        <f t="shared" si="5"/>
        <v>#VALUE!</v>
      </c>
      <c r="EN648" s="1408"/>
      <c r="EO648" s="1408"/>
      <c r="EP648" s="1408"/>
      <c r="EQ648" s="1408"/>
      <c r="ER648" s="1408" t="e">
        <f t="shared" si="6"/>
        <v>#VALUE!</v>
      </c>
      <c r="ES648" s="1408"/>
      <c r="ET648" s="1408"/>
      <c r="EU648" s="1408"/>
      <c r="EV648" s="1408"/>
      <c r="EW648" s="1408" t="e">
        <f t="shared" si="7"/>
        <v>#VALUE!</v>
      </c>
      <c r="EX648" s="1408"/>
      <c r="EY648" s="1408"/>
      <c r="EZ648" s="1408"/>
      <c r="FA648" s="1408"/>
    </row>
    <row r="649" spans="1:157" ht="12.9" customHeight="1">
      <c r="A649" s="22"/>
      <c r="B649" t="s">
        <v>20</v>
      </c>
      <c r="N649" s="1337" t="s">
        <v>546</v>
      </c>
      <c r="O649" s="1337"/>
      <c r="T649" s="22"/>
      <c r="U649" t="s">
        <v>20</v>
      </c>
      <c r="AG649" s="1337" t="s">
        <v>546</v>
      </c>
      <c r="AH649" s="1337"/>
      <c r="AZ649" s="34"/>
      <c r="BA649" s="34"/>
      <c r="BB649" s="34"/>
      <c r="BC649" s="34"/>
      <c r="BD649" s="34"/>
      <c r="BE649" s="34"/>
      <c r="BF649" s="34"/>
      <c r="BG649" s="34"/>
      <c r="BH649" s="34"/>
      <c r="BI649" s="34"/>
      <c r="BJ649" s="34"/>
      <c r="BK649" s="34"/>
      <c r="BL649" s="34"/>
      <c r="BM649" s="34"/>
      <c r="DX649" s="1408" t="e">
        <f t="shared" si="2"/>
        <v>#VALUE!</v>
      </c>
      <c r="DY649" s="1408"/>
      <c r="DZ649" s="1408"/>
      <c r="EA649" s="1408"/>
      <c r="EB649" s="1408"/>
      <c r="EC649" s="1408" t="e">
        <f t="shared" si="3"/>
        <v>#VALUE!</v>
      </c>
      <c r="ED649" s="1408"/>
      <c r="EE649" s="1408"/>
      <c r="EF649" s="1408"/>
      <c r="EG649" s="1408"/>
      <c r="EH649" s="1408" t="e">
        <f t="shared" si="4"/>
        <v>#VALUE!</v>
      </c>
      <c r="EI649" s="1408"/>
      <c r="EJ649" s="1408"/>
      <c r="EK649" s="1408"/>
      <c r="EL649" s="1408"/>
      <c r="EM649" s="1408" t="e">
        <f t="shared" si="5"/>
        <v>#VALUE!</v>
      </c>
      <c r="EN649" s="1408"/>
      <c r="EO649" s="1408"/>
      <c r="EP649" s="1408"/>
      <c r="EQ649" s="1408"/>
      <c r="ER649" s="1408" t="e">
        <f t="shared" si="6"/>
        <v>#VALUE!</v>
      </c>
      <c r="ES649" s="1408"/>
      <c r="ET649" s="1408"/>
      <c r="EU649" s="1408"/>
      <c r="EV649" s="1408"/>
      <c r="EW649" s="1408" t="e">
        <f t="shared" si="7"/>
        <v>#VALUE!</v>
      </c>
      <c r="EX649" s="1408"/>
      <c r="EY649" s="1408"/>
      <c r="EZ649" s="1408"/>
      <c r="FA649" s="1408"/>
    </row>
    <row r="650" spans="1:157" ht="12.9" customHeight="1">
      <c r="A650" s="22"/>
      <c r="T650" s="22"/>
      <c r="AZ650" s="34"/>
      <c r="BA650" s="34"/>
      <c r="BB650" s="34"/>
      <c r="BC650" s="34"/>
      <c r="BD650" s="34"/>
      <c r="BE650" s="34"/>
      <c r="BF650" s="34"/>
      <c r="BG650" s="34"/>
      <c r="BH650" s="34"/>
      <c r="BI650" s="34"/>
      <c r="BJ650" s="34"/>
      <c r="BK650" s="34"/>
      <c r="BL650" s="34"/>
      <c r="BM650" s="34"/>
      <c r="DX650" s="1408" t="e">
        <f t="shared" si="2"/>
        <v>#VALUE!</v>
      </c>
      <c r="DY650" s="1408"/>
      <c r="DZ650" s="1408"/>
      <c r="EA650" s="1408"/>
      <c r="EB650" s="1408"/>
      <c r="EC650" s="1408" t="e">
        <f t="shared" si="3"/>
        <v>#VALUE!</v>
      </c>
      <c r="ED650" s="1408"/>
      <c r="EE650" s="1408"/>
      <c r="EF650" s="1408"/>
      <c r="EG650" s="1408"/>
      <c r="EH650" s="1408" t="e">
        <f t="shared" si="4"/>
        <v>#VALUE!</v>
      </c>
      <c r="EI650" s="1408"/>
      <c r="EJ650" s="1408"/>
      <c r="EK650" s="1408"/>
      <c r="EL650" s="1408"/>
      <c r="EM650" s="1408" t="e">
        <f t="shared" si="5"/>
        <v>#VALUE!</v>
      </c>
      <c r="EN650" s="1408"/>
      <c r="EO650" s="1408"/>
      <c r="EP650" s="1408"/>
      <c r="EQ650" s="1408"/>
      <c r="ER650" s="1408" t="e">
        <f t="shared" si="6"/>
        <v>#VALUE!</v>
      </c>
      <c r="ES650" s="1408"/>
      <c r="ET650" s="1408"/>
      <c r="EU650" s="1408"/>
      <c r="EV650" s="1408"/>
      <c r="EW650" s="1408" t="e">
        <f t="shared" si="7"/>
        <v>#VALUE!</v>
      </c>
      <c r="EX650" s="1408"/>
      <c r="EY650" s="1408"/>
      <c r="EZ650" s="1408"/>
      <c r="FA650" s="1408"/>
    </row>
    <row r="651" spans="1:157" ht="12.9" customHeight="1">
      <c r="A651" s="55" t="s">
        <v>119</v>
      </c>
      <c r="B651" t="s">
        <v>464</v>
      </c>
      <c r="G651" s="1336" t="str">
        <f>C629</f>
        <v xml:space="preserve">Developer Note </v>
      </c>
      <c r="H651" s="1336"/>
      <c r="I651" s="1336"/>
      <c r="J651" s="1336"/>
      <c r="K651" s="1336"/>
      <c r="L651" s="1336"/>
      <c r="M651" s="1336"/>
      <c r="N651" s="1336"/>
      <c r="O651" s="1336"/>
      <c r="P651" s="1336"/>
      <c r="Q651" s="1336"/>
      <c r="R651" s="1336"/>
      <c r="T651" s="55" t="s">
        <v>582</v>
      </c>
      <c r="U651" t="s">
        <v>464</v>
      </c>
      <c r="Z651" s="1336" t="str">
        <f>C630</f>
        <v>HTA</v>
      </c>
      <c r="AA651" s="1336"/>
      <c r="AB651" s="1336"/>
      <c r="AC651" s="1336"/>
      <c r="AD651" s="1336"/>
      <c r="AE651" s="1336"/>
      <c r="AF651" s="1336"/>
      <c r="AG651" s="1336"/>
      <c r="AH651" s="1336"/>
      <c r="AI651" s="1336"/>
      <c r="AJ651" s="1336"/>
      <c r="AK651" s="1336"/>
      <c r="AZ651" s="34"/>
      <c r="BA651" s="34"/>
      <c r="BB651" s="34"/>
      <c r="BC651" s="34"/>
      <c r="BD651" s="34"/>
      <c r="BE651" s="34"/>
      <c r="BF651" s="34"/>
      <c r="BG651" s="34"/>
      <c r="BH651" s="34"/>
      <c r="BI651" s="34"/>
      <c r="BJ651" s="34"/>
      <c r="BK651" s="34"/>
      <c r="BL651" s="34"/>
      <c r="BM651" s="34"/>
      <c r="DX651" s="1408" t="e">
        <f t="shared" si="2"/>
        <v>#VALUE!</v>
      </c>
      <c r="DY651" s="1408"/>
      <c r="DZ651" s="1408"/>
      <c r="EA651" s="1408"/>
      <c r="EB651" s="1408"/>
      <c r="EC651" s="1408" t="e">
        <f t="shared" si="3"/>
        <v>#VALUE!</v>
      </c>
      <c r="ED651" s="1408"/>
      <c r="EE651" s="1408"/>
      <c r="EF651" s="1408"/>
      <c r="EG651" s="1408"/>
      <c r="EH651" s="1408" t="e">
        <f t="shared" si="4"/>
        <v>#VALUE!</v>
      </c>
      <c r="EI651" s="1408"/>
      <c r="EJ651" s="1408"/>
      <c r="EK651" s="1408"/>
      <c r="EL651" s="1408"/>
      <c r="EM651" s="1408" t="e">
        <f t="shared" si="5"/>
        <v>#VALUE!</v>
      </c>
      <c r="EN651" s="1408"/>
      <c r="EO651" s="1408"/>
      <c r="EP651" s="1408"/>
      <c r="EQ651" s="1408"/>
      <c r="ER651" s="1408" t="e">
        <f t="shared" si="6"/>
        <v>#VALUE!</v>
      </c>
      <c r="ES651" s="1408"/>
      <c r="ET651" s="1408"/>
      <c r="EU651" s="1408"/>
      <c r="EV651" s="1408"/>
      <c r="EW651" s="1408" t="e">
        <f t="shared" si="7"/>
        <v>#VALUE!</v>
      </c>
      <c r="EX651" s="1408"/>
      <c r="EY651" s="1408"/>
      <c r="EZ651" s="1408"/>
      <c r="FA651" s="1408"/>
    </row>
    <row r="652" spans="1:157" ht="12.9" customHeight="1">
      <c r="A652" s="22"/>
      <c r="B652" t="s">
        <v>85</v>
      </c>
      <c r="G652" s="1341" t="s">
        <v>2709</v>
      </c>
      <c r="H652" s="1341"/>
      <c r="I652" s="1341"/>
      <c r="J652" s="1341"/>
      <c r="K652" s="1341"/>
      <c r="L652" s="1341"/>
      <c r="M652" s="1341"/>
      <c r="N652" s="1341"/>
      <c r="O652" s="1341"/>
      <c r="P652" s="1341"/>
      <c r="Q652" s="1341"/>
      <c r="R652" s="1341"/>
      <c r="T652" s="22"/>
      <c r="U652" t="s">
        <v>85</v>
      </c>
      <c r="Z652" s="1341" t="s">
        <v>2701</v>
      </c>
      <c r="AA652" s="1341"/>
      <c r="AB652" s="1341"/>
      <c r="AC652" s="1341"/>
      <c r="AD652" s="1341"/>
      <c r="AE652" s="1341"/>
      <c r="AF652" s="1341"/>
      <c r="AG652" s="1341"/>
      <c r="AH652" s="1341"/>
      <c r="AI652" s="1341"/>
      <c r="AJ652" s="1341"/>
      <c r="AK652" s="1341"/>
      <c r="AZ652" s="34"/>
      <c r="BA652" s="34"/>
      <c r="BB652" s="34"/>
      <c r="BC652" s="34"/>
      <c r="BD652" s="34"/>
      <c r="BE652" s="34"/>
      <c r="BF652" s="34"/>
      <c r="BG652" s="34"/>
      <c r="BH652" s="34"/>
      <c r="BI652" s="34"/>
      <c r="BJ652" s="34"/>
      <c r="BK652" s="34"/>
      <c r="BL652" s="34"/>
      <c r="BM652" s="34"/>
      <c r="DX652" s="1408" t="e">
        <f t="shared" si="2"/>
        <v>#VALUE!</v>
      </c>
      <c r="DY652" s="1408"/>
      <c r="DZ652" s="1408"/>
      <c r="EA652" s="1408"/>
      <c r="EB652" s="1408"/>
      <c r="EC652" s="1408" t="e">
        <f t="shared" si="3"/>
        <v>#VALUE!</v>
      </c>
      <c r="ED652" s="1408"/>
      <c r="EE652" s="1408"/>
      <c r="EF652" s="1408"/>
      <c r="EG652" s="1408"/>
      <c r="EH652" s="1408" t="e">
        <f t="shared" si="4"/>
        <v>#VALUE!</v>
      </c>
      <c r="EI652" s="1408"/>
      <c r="EJ652" s="1408"/>
      <c r="EK652" s="1408"/>
      <c r="EL652" s="1408"/>
      <c r="EM652" s="1408" t="e">
        <f t="shared" si="5"/>
        <v>#VALUE!</v>
      </c>
      <c r="EN652" s="1408"/>
      <c r="EO652" s="1408"/>
      <c r="EP652" s="1408"/>
      <c r="EQ652" s="1408"/>
      <c r="ER652" s="1408" t="e">
        <f t="shared" si="6"/>
        <v>#VALUE!</v>
      </c>
      <c r="ES652" s="1408"/>
      <c r="ET652" s="1408"/>
      <c r="EU652" s="1408"/>
      <c r="EV652" s="1408"/>
      <c r="EW652" s="1408" t="e">
        <f t="shared" si="7"/>
        <v>#VALUE!</v>
      </c>
      <c r="EX652" s="1408"/>
      <c r="EY652" s="1408"/>
      <c r="EZ652" s="1408"/>
      <c r="FA652" s="1408"/>
    </row>
    <row r="653" spans="1:157" ht="12.9" customHeight="1">
      <c r="A653" s="22"/>
      <c r="B653" t="s">
        <v>581</v>
      </c>
      <c r="G653" s="1410" t="s">
        <v>2673</v>
      </c>
      <c r="H653" s="1410"/>
      <c r="I653" s="1410"/>
      <c r="J653" s="1410"/>
      <c r="K653" s="1410"/>
      <c r="L653" s="1410"/>
      <c r="M653" s="1410"/>
      <c r="N653" s="1410"/>
      <c r="O653" s="1410"/>
      <c r="P653" s="1410"/>
      <c r="Q653" s="1410"/>
      <c r="R653" s="1410"/>
      <c r="T653" s="22"/>
      <c r="U653" t="s">
        <v>581</v>
      </c>
      <c r="Z653" s="1410" t="s">
        <v>2702</v>
      </c>
      <c r="AA653" s="1410"/>
      <c r="AB653" s="1410"/>
      <c r="AC653" s="1410"/>
      <c r="AD653" s="1410"/>
      <c r="AE653" s="1410"/>
      <c r="AF653" s="1410"/>
      <c r="AG653" s="1410"/>
      <c r="AH653" s="1410"/>
      <c r="AI653" s="1410"/>
      <c r="AJ653" s="1410"/>
      <c r="AK653" s="1410"/>
      <c r="AZ653" s="34"/>
      <c r="BA653" s="34"/>
      <c r="BB653" s="34"/>
      <c r="BC653" s="34"/>
      <c r="BD653" s="34"/>
      <c r="BE653" s="34"/>
      <c r="BF653" s="34"/>
      <c r="BG653" s="34"/>
      <c r="BH653" s="34"/>
      <c r="BI653" s="34"/>
      <c r="BJ653" s="34"/>
      <c r="BK653" s="34"/>
      <c r="BL653" s="34"/>
      <c r="BM653" s="34"/>
      <c r="DX653" s="1408" t="e">
        <f t="shared" si="2"/>
        <v>#VALUE!</v>
      </c>
      <c r="DY653" s="1408"/>
      <c r="DZ653" s="1408"/>
      <c r="EA653" s="1408"/>
      <c r="EB653" s="1408"/>
      <c r="EC653" s="1408" t="e">
        <f t="shared" si="3"/>
        <v>#VALUE!</v>
      </c>
      <c r="ED653" s="1408"/>
      <c r="EE653" s="1408"/>
      <c r="EF653" s="1408"/>
      <c r="EG653" s="1408"/>
      <c r="EH653" s="1408" t="e">
        <f t="shared" si="4"/>
        <v>#VALUE!</v>
      </c>
      <c r="EI653" s="1408"/>
      <c r="EJ653" s="1408"/>
      <c r="EK653" s="1408"/>
      <c r="EL653" s="1408"/>
      <c r="EM653" s="1408" t="e">
        <f t="shared" si="5"/>
        <v>#VALUE!</v>
      </c>
      <c r="EN653" s="1408"/>
      <c r="EO653" s="1408"/>
      <c r="EP653" s="1408"/>
      <c r="EQ653" s="1408"/>
      <c r="ER653" s="1408" t="e">
        <f t="shared" si="6"/>
        <v>#VALUE!</v>
      </c>
      <c r="ES653" s="1408"/>
      <c r="ET653" s="1408"/>
      <c r="EU653" s="1408"/>
      <c r="EV653" s="1408"/>
      <c r="EW653" s="1408" t="e">
        <f t="shared" si="7"/>
        <v>#VALUE!</v>
      </c>
      <c r="EX653" s="1408"/>
      <c r="EY653" s="1408"/>
      <c r="EZ653" s="1408"/>
      <c r="FA653" s="1408"/>
    </row>
    <row r="654" spans="1:157" ht="12.9" customHeight="1">
      <c r="A654" s="22"/>
      <c r="B654" t="s">
        <v>17</v>
      </c>
      <c r="G654" s="1410" t="s">
        <v>2674</v>
      </c>
      <c r="H654" s="1410"/>
      <c r="I654" s="1410"/>
      <c r="J654" s="1410"/>
      <c r="K654" s="1410"/>
      <c r="L654" s="1410"/>
      <c r="M654" s="1410"/>
      <c r="N654" s="1410"/>
      <c r="O654" s="1410"/>
      <c r="P654" s="1410"/>
      <c r="Q654" s="1410"/>
      <c r="R654" s="1410"/>
      <c r="T654" s="22"/>
      <c r="U654" t="s">
        <v>17</v>
      </c>
      <c r="Z654" s="1410" t="s">
        <v>2703</v>
      </c>
      <c r="AA654" s="1410"/>
      <c r="AB654" s="1410"/>
      <c r="AC654" s="1410"/>
      <c r="AD654" s="1410"/>
      <c r="AE654" s="1410"/>
      <c r="AF654" s="1410"/>
      <c r="AG654" s="1410"/>
      <c r="AH654" s="1410"/>
      <c r="AI654" s="1410"/>
      <c r="AJ654" s="1410"/>
      <c r="AK654" s="1410"/>
      <c r="AZ654" s="34"/>
      <c r="BA654" s="34"/>
      <c r="BB654" s="34"/>
      <c r="BC654" s="34"/>
      <c r="BD654" s="34"/>
      <c r="BE654" s="34"/>
      <c r="BF654" s="34"/>
      <c r="BG654" s="34"/>
      <c r="BH654" s="34"/>
      <c r="BI654" s="34"/>
      <c r="BJ654" s="34"/>
      <c r="BK654" s="34"/>
      <c r="BL654" s="34"/>
      <c r="BM654" s="34"/>
      <c r="DX654" s="1408" t="e">
        <f t="shared" si="2"/>
        <v>#VALUE!</v>
      </c>
      <c r="DY654" s="1408"/>
      <c r="DZ654" s="1408"/>
      <c r="EA654" s="1408"/>
      <c r="EB654" s="1408"/>
      <c r="EC654" s="1408" t="e">
        <f t="shared" si="3"/>
        <v>#VALUE!</v>
      </c>
      <c r="ED654" s="1408"/>
      <c r="EE654" s="1408"/>
      <c r="EF654" s="1408"/>
      <c r="EG654" s="1408"/>
      <c r="EH654" s="1408" t="e">
        <f t="shared" si="4"/>
        <v>#VALUE!</v>
      </c>
      <c r="EI654" s="1408"/>
      <c r="EJ654" s="1408"/>
      <c r="EK654" s="1408"/>
      <c r="EL654" s="1408"/>
      <c r="EM654" s="1408" t="e">
        <f t="shared" si="5"/>
        <v>#VALUE!</v>
      </c>
      <c r="EN654" s="1408"/>
      <c r="EO654" s="1408"/>
      <c r="EP654" s="1408"/>
      <c r="EQ654" s="1408"/>
      <c r="ER654" s="1408" t="e">
        <f t="shared" si="6"/>
        <v>#VALUE!</v>
      </c>
      <c r="ES654" s="1408"/>
      <c r="ET654" s="1408"/>
      <c r="EU654" s="1408"/>
      <c r="EV654" s="1408"/>
      <c r="EW654" s="1408" t="e">
        <f t="shared" si="7"/>
        <v>#VALUE!</v>
      </c>
      <c r="EX654" s="1408"/>
      <c r="EY654" s="1408"/>
      <c r="EZ654" s="1408"/>
      <c r="FA654" s="1408"/>
    </row>
    <row r="655" spans="1:157" ht="12.9" customHeight="1">
      <c r="A655" s="22"/>
      <c r="B655" t="s">
        <v>316</v>
      </c>
      <c r="G655" s="1347" t="s">
        <v>2675</v>
      </c>
      <c r="H655" s="1347"/>
      <c r="I655" s="1347"/>
      <c r="J655" s="1347"/>
      <c r="K655" s="1347"/>
      <c r="L655" s="1347"/>
      <c r="O655" s="33" t="s">
        <v>206</v>
      </c>
      <c r="P655" s="1342"/>
      <c r="Q655" s="1342"/>
      <c r="R655" s="1342"/>
      <c r="T655" s="22"/>
      <c r="U655" t="s">
        <v>316</v>
      </c>
      <c r="Z655" s="1347">
        <v>7074430826</v>
      </c>
      <c r="AA655" s="1347"/>
      <c r="AB655" s="1347"/>
      <c r="AC655" s="1347"/>
      <c r="AD655" s="1347"/>
      <c r="AE655" s="1347"/>
      <c r="AH655" s="33" t="s">
        <v>206</v>
      </c>
      <c r="AI655" s="1342"/>
      <c r="AJ655" s="1342"/>
      <c r="AK655" s="1342"/>
      <c r="AZ655" s="34"/>
      <c r="BA655" s="34"/>
      <c r="BB655" s="34"/>
      <c r="BC655" s="34"/>
      <c r="BD655" s="34"/>
      <c r="BE655" s="34"/>
      <c r="BF655" s="34"/>
      <c r="BG655" s="34"/>
      <c r="BH655" s="34"/>
      <c r="BI655" s="34"/>
      <c r="BJ655" s="34"/>
      <c r="BK655" s="34"/>
      <c r="BL655" s="34"/>
      <c r="BM655" s="34"/>
      <c r="DX655" s="1408" t="e">
        <f t="shared" si="2"/>
        <v>#VALUE!</v>
      </c>
      <c r="DY655" s="1408"/>
      <c r="DZ655" s="1408"/>
      <c r="EA655" s="1408"/>
      <c r="EB655" s="1408"/>
      <c r="EC655" s="1408" t="e">
        <f t="shared" si="3"/>
        <v>#VALUE!</v>
      </c>
      <c r="ED655" s="1408"/>
      <c r="EE655" s="1408"/>
      <c r="EF655" s="1408"/>
      <c r="EG655" s="1408"/>
      <c r="EH655" s="1408" t="e">
        <f t="shared" si="4"/>
        <v>#VALUE!</v>
      </c>
      <c r="EI655" s="1408"/>
      <c r="EJ655" s="1408"/>
      <c r="EK655" s="1408"/>
      <c r="EL655" s="1408"/>
      <c r="EM655" s="1408" t="e">
        <f t="shared" si="5"/>
        <v>#VALUE!</v>
      </c>
      <c r="EN655" s="1408"/>
      <c r="EO655" s="1408"/>
      <c r="EP655" s="1408"/>
      <c r="EQ655" s="1408"/>
      <c r="ER655" s="1408" t="e">
        <f t="shared" si="6"/>
        <v>#VALUE!</v>
      </c>
      <c r="ES655" s="1408"/>
      <c r="ET655" s="1408"/>
      <c r="EU655" s="1408"/>
      <c r="EV655" s="1408"/>
      <c r="EW655" s="1408" t="e">
        <f t="shared" si="7"/>
        <v>#VALUE!</v>
      </c>
      <c r="EX655" s="1408"/>
      <c r="EY655" s="1408"/>
      <c r="EZ655" s="1408"/>
      <c r="FA655" s="1408"/>
    </row>
    <row r="656" spans="1:157" ht="12.9" customHeight="1">
      <c r="A656" s="22"/>
      <c r="B656" t="s">
        <v>18</v>
      </c>
      <c r="H656" s="1341" t="s">
        <v>2712</v>
      </c>
      <c r="I656" s="1341"/>
      <c r="J656" s="1341"/>
      <c r="K656" s="1341"/>
      <c r="L656" s="1341"/>
      <c r="M656" s="1341"/>
      <c r="N656" s="1341"/>
      <c r="O656" s="1341"/>
      <c r="P656" s="1341"/>
      <c r="Q656" s="1341"/>
      <c r="R656" s="1341"/>
      <c r="T656" s="22"/>
      <c r="U656" t="s">
        <v>18</v>
      </c>
      <c r="AA656" s="1341" t="s">
        <v>2713</v>
      </c>
      <c r="AB656" s="1341"/>
      <c r="AC656" s="1341"/>
      <c r="AD656" s="1341"/>
      <c r="AE656" s="1341"/>
      <c r="AF656" s="1341"/>
      <c r="AG656" s="1341"/>
      <c r="AH656" s="1341"/>
      <c r="AI656" s="1341"/>
      <c r="AJ656" s="1341"/>
      <c r="AK656" s="1341"/>
      <c r="AZ656" s="34"/>
      <c r="BA656" s="34"/>
      <c r="BB656" s="34"/>
      <c r="BC656" s="34"/>
      <c r="BD656" s="34"/>
      <c r="BE656" s="34"/>
      <c r="BF656" s="34"/>
      <c r="BG656" s="34"/>
      <c r="BH656" s="34"/>
      <c r="BI656" s="34"/>
      <c r="BJ656" s="34"/>
      <c r="BK656" s="34"/>
      <c r="BL656" s="34"/>
      <c r="BM656" s="34"/>
      <c r="DX656" s="1408" t="e">
        <f t="shared" si="2"/>
        <v>#VALUE!</v>
      </c>
      <c r="DY656" s="1408"/>
      <c r="DZ656" s="1408"/>
      <c r="EA656" s="1408"/>
      <c r="EB656" s="1408"/>
      <c r="EC656" s="1408" t="e">
        <f t="shared" si="3"/>
        <v>#VALUE!</v>
      </c>
      <c r="ED656" s="1408"/>
      <c r="EE656" s="1408"/>
      <c r="EF656" s="1408"/>
      <c r="EG656" s="1408"/>
      <c r="EH656" s="1408" t="e">
        <f t="shared" si="4"/>
        <v>#VALUE!</v>
      </c>
      <c r="EI656" s="1408"/>
      <c r="EJ656" s="1408"/>
      <c r="EK656" s="1408"/>
      <c r="EL656" s="1408"/>
      <c r="EM656" s="1408" t="e">
        <f t="shared" si="5"/>
        <v>#VALUE!</v>
      </c>
      <c r="EN656" s="1408"/>
      <c r="EO656" s="1408"/>
      <c r="EP656" s="1408"/>
      <c r="EQ656" s="1408"/>
      <c r="ER656" s="1408" t="e">
        <f t="shared" si="6"/>
        <v>#VALUE!</v>
      </c>
      <c r="ES656" s="1408"/>
      <c r="ET656" s="1408"/>
      <c r="EU656" s="1408"/>
      <c r="EV656" s="1408"/>
      <c r="EW656" s="1408" t="e">
        <f t="shared" si="7"/>
        <v>#VALUE!</v>
      </c>
      <c r="EX656" s="1408"/>
      <c r="EY656" s="1408"/>
      <c r="EZ656" s="1408"/>
      <c r="FA656" s="1408"/>
    </row>
    <row r="657" spans="1:157" ht="12.9" customHeight="1">
      <c r="A657" s="22"/>
      <c r="B657" t="s">
        <v>20</v>
      </c>
      <c r="N657" s="1337" t="s">
        <v>546</v>
      </c>
      <c r="O657" s="1337"/>
      <c r="T657" s="22"/>
      <c r="U657" t="s">
        <v>20</v>
      </c>
      <c r="AG657" s="1337" t="s">
        <v>546</v>
      </c>
      <c r="AH657" s="1337"/>
      <c r="AZ657" s="34"/>
      <c r="BA657" s="34"/>
      <c r="BB657" s="34"/>
      <c r="BC657" s="34"/>
      <c r="BD657" s="34"/>
      <c r="BE657" s="34"/>
      <c r="BF657" s="34"/>
      <c r="BG657" s="34"/>
      <c r="BH657" s="34"/>
      <c r="BI657" s="34"/>
      <c r="BJ657" s="34"/>
      <c r="BK657" s="34"/>
      <c r="BL657" s="34"/>
      <c r="BM657" s="34"/>
      <c r="DX657" s="1408" t="e">
        <f t="shared" si="2"/>
        <v>#VALUE!</v>
      </c>
      <c r="DY657" s="1408"/>
      <c r="DZ657" s="1408"/>
      <c r="EA657" s="1408"/>
      <c r="EB657" s="1408"/>
      <c r="EC657" s="1408" t="e">
        <f t="shared" si="3"/>
        <v>#VALUE!</v>
      </c>
      <c r="ED657" s="1408"/>
      <c r="EE657" s="1408"/>
      <c r="EF657" s="1408"/>
      <c r="EG657" s="1408"/>
      <c r="EH657" s="1408" t="e">
        <f t="shared" si="4"/>
        <v>#VALUE!</v>
      </c>
      <c r="EI657" s="1408"/>
      <c r="EJ657" s="1408"/>
      <c r="EK657" s="1408"/>
      <c r="EL657" s="1408"/>
      <c r="EM657" s="1408" t="e">
        <f t="shared" si="5"/>
        <v>#VALUE!</v>
      </c>
      <c r="EN657" s="1408"/>
      <c r="EO657" s="1408"/>
      <c r="EP657" s="1408"/>
      <c r="EQ657" s="1408"/>
      <c r="ER657" s="1408" t="e">
        <f t="shared" si="6"/>
        <v>#VALUE!</v>
      </c>
      <c r="ES657" s="1408"/>
      <c r="ET657" s="1408"/>
      <c r="EU657" s="1408"/>
      <c r="EV657" s="1408"/>
      <c r="EW657" s="1408" t="e">
        <f t="shared" si="7"/>
        <v>#VALUE!</v>
      </c>
      <c r="EX657" s="1408"/>
      <c r="EY657" s="1408"/>
      <c r="EZ657" s="1408"/>
      <c r="FA657" s="1408"/>
    </row>
    <row r="658" spans="1:157" ht="12.9" customHeight="1">
      <c r="A658" s="22"/>
      <c r="T658" s="22"/>
      <c r="AZ658" s="34"/>
      <c r="BA658" s="34"/>
      <c r="BB658" s="34"/>
      <c r="BC658" s="34"/>
      <c r="BD658" s="34"/>
      <c r="BE658" s="34"/>
      <c r="BF658" s="34"/>
      <c r="BG658" s="34"/>
      <c r="BH658" s="34"/>
      <c r="BI658" s="34"/>
      <c r="BJ658" s="34"/>
      <c r="BK658" s="34"/>
      <c r="BL658" s="34"/>
      <c r="BM658" s="34"/>
      <c r="DX658" s="1408" t="e">
        <f t="shared" si="2"/>
        <v>#VALUE!</v>
      </c>
      <c r="DY658" s="1408"/>
      <c r="DZ658" s="1408"/>
      <c r="EA658" s="1408"/>
      <c r="EB658" s="1408"/>
      <c r="EC658" s="1408" t="e">
        <f t="shared" si="3"/>
        <v>#VALUE!</v>
      </c>
      <c r="ED658" s="1408"/>
      <c r="EE658" s="1408"/>
      <c r="EF658" s="1408"/>
      <c r="EG658" s="1408"/>
      <c r="EH658" s="1408" t="e">
        <f t="shared" si="4"/>
        <v>#VALUE!</v>
      </c>
      <c r="EI658" s="1408"/>
      <c r="EJ658" s="1408"/>
      <c r="EK658" s="1408"/>
      <c r="EL658" s="1408"/>
      <c r="EM658" s="1408" t="e">
        <f t="shared" si="5"/>
        <v>#VALUE!</v>
      </c>
      <c r="EN658" s="1408"/>
      <c r="EO658" s="1408"/>
      <c r="EP658" s="1408"/>
      <c r="EQ658" s="1408"/>
      <c r="ER658" s="1408" t="e">
        <f t="shared" si="6"/>
        <v>#VALUE!</v>
      </c>
      <c r="ES658" s="1408"/>
      <c r="ET658" s="1408"/>
      <c r="EU658" s="1408"/>
      <c r="EV658" s="1408"/>
      <c r="EW658" s="1408" t="e">
        <f t="shared" si="7"/>
        <v>#VALUE!</v>
      </c>
      <c r="EX658" s="1408"/>
      <c r="EY658" s="1408"/>
      <c r="EZ658" s="1408"/>
      <c r="FA658" s="1408"/>
    </row>
    <row r="659" spans="1:157" ht="12.9" customHeight="1">
      <c r="A659" s="55" t="s">
        <v>764</v>
      </c>
      <c r="B659" t="s">
        <v>464</v>
      </c>
      <c r="G659" s="1336" t="str">
        <f>C631</f>
        <v>DDS-RCRC</v>
      </c>
      <c r="H659" s="1336"/>
      <c r="I659" s="1336"/>
      <c r="J659" s="1336"/>
      <c r="K659" s="1336"/>
      <c r="L659" s="1336"/>
      <c r="M659" s="1336"/>
      <c r="N659" s="1336"/>
      <c r="O659" s="1336"/>
      <c r="P659" s="1336"/>
      <c r="Q659" s="1336"/>
      <c r="R659" s="1336"/>
      <c r="T659" s="55" t="s">
        <v>585</v>
      </c>
      <c r="U659" t="s">
        <v>464</v>
      </c>
      <c r="Z659" s="1336" t="str">
        <f>C632</f>
        <v xml:space="preserve">City of Eureka  </v>
      </c>
      <c r="AA659" s="1336"/>
      <c r="AB659" s="1336"/>
      <c r="AC659" s="1336"/>
      <c r="AD659" s="1336"/>
      <c r="AE659" s="1336"/>
      <c r="AF659" s="1336"/>
      <c r="AG659" s="1336"/>
      <c r="AH659" s="1336"/>
      <c r="AI659" s="1336"/>
      <c r="AJ659" s="1336"/>
      <c r="AK659" s="1336"/>
      <c r="AZ659" s="34"/>
      <c r="BA659" s="34"/>
      <c r="BB659" s="34"/>
      <c r="BC659" s="34"/>
      <c r="BD659" s="34"/>
      <c r="BE659" s="34"/>
      <c r="BF659" s="34"/>
      <c r="BG659" s="34"/>
      <c r="BH659" s="34"/>
      <c r="BI659" s="34"/>
      <c r="BJ659" s="34"/>
      <c r="BK659" s="34"/>
      <c r="BL659" s="34"/>
      <c r="BM659" s="34"/>
      <c r="DX659" s="1408" t="e">
        <f t="shared" si="2"/>
        <v>#VALUE!</v>
      </c>
      <c r="DY659" s="1408"/>
      <c r="DZ659" s="1408"/>
      <c r="EA659" s="1408"/>
      <c r="EB659" s="1408"/>
      <c r="EC659" s="1408" t="e">
        <f t="shared" si="3"/>
        <v>#VALUE!</v>
      </c>
      <c r="ED659" s="1408"/>
      <c r="EE659" s="1408"/>
      <c r="EF659" s="1408"/>
      <c r="EG659" s="1408"/>
      <c r="EH659" s="1408" t="e">
        <f t="shared" si="4"/>
        <v>#VALUE!</v>
      </c>
      <c r="EI659" s="1408"/>
      <c r="EJ659" s="1408"/>
      <c r="EK659" s="1408"/>
      <c r="EL659" s="1408"/>
      <c r="EM659" s="1408" t="e">
        <f t="shared" si="5"/>
        <v>#VALUE!</v>
      </c>
      <c r="EN659" s="1408"/>
      <c r="EO659" s="1408"/>
      <c r="EP659" s="1408"/>
      <c r="EQ659" s="1408"/>
      <c r="ER659" s="1408" t="e">
        <f t="shared" si="6"/>
        <v>#VALUE!</v>
      </c>
      <c r="ES659" s="1408"/>
      <c r="ET659" s="1408"/>
      <c r="EU659" s="1408"/>
      <c r="EV659" s="1408"/>
      <c r="EW659" s="1408" t="e">
        <f t="shared" si="7"/>
        <v>#VALUE!</v>
      </c>
      <c r="EX659" s="1408"/>
      <c r="EY659" s="1408"/>
      <c r="EZ659" s="1408"/>
      <c r="FA659" s="1408"/>
    </row>
    <row r="660" spans="1:157" ht="12.9" customHeight="1">
      <c r="A660" s="22"/>
      <c r="B660" t="s">
        <v>85</v>
      </c>
      <c r="G660" s="1341" t="s">
        <v>2707</v>
      </c>
      <c r="H660" s="1341"/>
      <c r="I660" s="1341"/>
      <c r="J660" s="1341"/>
      <c r="K660" s="1341"/>
      <c r="L660" s="1341"/>
      <c r="M660" s="1341"/>
      <c r="N660" s="1341"/>
      <c r="O660" s="1341"/>
      <c r="P660" s="1341"/>
      <c r="Q660" s="1341"/>
      <c r="R660" s="1341"/>
      <c r="T660" s="22"/>
      <c r="U660" t="s">
        <v>85</v>
      </c>
      <c r="Z660" s="1341" t="s">
        <v>2617</v>
      </c>
      <c r="AA660" s="1341"/>
      <c r="AB660" s="1341"/>
      <c r="AC660" s="1341"/>
      <c r="AD660" s="1341"/>
      <c r="AE660" s="1341"/>
      <c r="AF660" s="1341"/>
      <c r="AG660" s="1341"/>
      <c r="AH660" s="1341"/>
      <c r="AI660" s="1341"/>
      <c r="AJ660" s="1341"/>
      <c r="AK660" s="1341"/>
      <c r="AZ660" s="34"/>
      <c r="BA660" s="34"/>
      <c r="BB660" s="34"/>
      <c r="BC660" s="34"/>
      <c r="BD660" s="34"/>
      <c r="BE660" s="34"/>
      <c r="BF660" s="34"/>
      <c r="BG660" s="34"/>
      <c r="BH660" s="34"/>
      <c r="BI660" s="34"/>
      <c r="BJ660" s="34"/>
      <c r="BK660" s="34"/>
      <c r="BL660" s="34"/>
      <c r="BM660" s="34"/>
      <c r="DX660" s="1408" t="e">
        <f t="shared" si="2"/>
        <v>#VALUE!</v>
      </c>
      <c r="DY660" s="1408"/>
      <c r="DZ660" s="1408"/>
      <c r="EA660" s="1408"/>
      <c r="EB660" s="1408"/>
      <c r="EC660" s="1408" t="e">
        <f t="shared" si="3"/>
        <v>#VALUE!</v>
      </c>
      <c r="ED660" s="1408"/>
      <c r="EE660" s="1408"/>
      <c r="EF660" s="1408"/>
      <c r="EG660" s="1408"/>
      <c r="EH660" s="1408" t="e">
        <f t="shared" si="4"/>
        <v>#VALUE!</v>
      </c>
      <c r="EI660" s="1408"/>
      <c r="EJ660" s="1408"/>
      <c r="EK660" s="1408"/>
      <c r="EL660" s="1408"/>
      <c r="EM660" s="1408" t="e">
        <f t="shared" si="5"/>
        <v>#VALUE!</v>
      </c>
      <c r="EN660" s="1408"/>
      <c r="EO660" s="1408"/>
      <c r="EP660" s="1408"/>
      <c r="EQ660" s="1408"/>
      <c r="ER660" s="1408" t="e">
        <f t="shared" si="6"/>
        <v>#VALUE!</v>
      </c>
      <c r="ES660" s="1408"/>
      <c r="ET660" s="1408"/>
      <c r="EU660" s="1408"/>
      <c r="EV660" s="1408"/>
      <c r="EW660" s="1408" t="e">
        <f t="shared" si="7"/>
        <v>#VALUE!</v>
      </c>
      <c r="EX660" s="1408"/>
      <c r="EY660" s="1408"/>
      <c r="EZ660" s="1408"/>
      <c r="FA660" s="1408"/>
    </row>
    <row r="661" spans="1:157" ht="12.9" customHeight="1">
      <c r="A661" s="22"/>
      <c r="B661" t="s">
        <v>581</v>
      </c>
      <c r="G661" s="1341" t="s">
        <v>2702</v>
      </c>
      <c r="H661" s="1341"/>
      <c r="I661" s="1341"/>
      <c r="J661" s="1341"/>
      <c r="K661" s="1341"/>
      <c r="L661" s="1341"/>
      <c r="M661" s="1341"/>
      <c r="N661" s="1341"/>
      <c r="O661" s="1341"/>
      <c r="P661" s="1341"/>
      <c r="Q661" s="1341"/>
      <c r="R661" s="1341"/>
      <c r="T661" s="22"/>
      <c r="U661" t="s">
        <v>581</v>
      </c>
      <c r="Z661" s="1410" t="s">
        <v>2705</v>
      </c>
      <c r="AA661" s="1410"/>
      <c r="AB661" s="1410"/>
      <c r="AC661" s="1410"/>
      <c r="AD661" s="1410"/>
      <c r="AE661" s="1410"/>
      <c r="AF661" s="1410"/>
      <c r="AG661" s="1410"/>
      <c r="AH661" s="1410"/>
      <c r="AI661" s="1410"/>
      <c r="AJ661" s="1410"/>
      <c r="AK661" s="1410"/>
      <c r="AZ661" s="34"/>
      <c r="BA661" s="34"/>
      <c r="BB661" s="34"/>
      <c r="BC661" s="34"/>
      <c r="BD661" s="34"/>
      <c r="BE661" s="34"/>
      <c r="BF661" s="34"/>
      <c r="BG661" s="34"/>
      <c r="BH661" s="34"/>
      <c r="BI661" s="34"/>
      <c r="BJ661" s="34"/>
      <c r="BK661" s="34"/>
      <c r="BL661" s="34"/>
      <c r="BM661" s="34"/>
      <c r="DX661" s="1408" t="e">
        <f t="shared" si="2"/>
        <v>#VALUE!</v>
      </c>
      <c r="DY661" s="1408"/>
      <c r="DZ661" s="1408"/>
      <c r="EA661" s="1408"/>
      <c r="EB661" s="1408"/>
      <c r="EC661" s="1408" t="e">
        <f t="shared" si="3"/>
        <v>#VALUE!</v>
      </c>
      <c r="ED661" s="1408"/>
      <c r="EE661" s="1408"/>
      <c r="EF661" s="1408"/>
      <c r="EG661" s="1408"/>
      <c r="EH661" s="1408" t="e">
        <f t="shared" si="4"/>
        <v>#VALUE!</v>
      </c>
      <c r="EI661" s="1408"/>
      <c r="EJ661" s="1408"/>
      <c r="EK661" s="1408"/>
      <c r="EL661" s="1408"/>
      <c r="EM661" s="1408" t="e">
        <f t="shared" si="5"/>
        <v>#VALUE!</v>
      </c>
      <c r="EN661" s="1408"/>
      <c r="EO661" s="1408"/>
      <c r="EP661" s="1408"/>
      <c r="EQ661" s="1408"/>
      <c r="ER661" s="1408" t="e">
        <f t="shared" si="6"/>
        <v>#VALUE!</v>
      </c>
      <c r="ES661" s="1408"/>
      <c r="ET661" s="1408"/>
      <c r="EU661" s="1408"/>
      <c r="EV661" s="1408"/>
      <c r="EW661" s="1408" t="e">
        <f t="shared" si="7"/>
        <v>#VALUE!</v>
      </c>
      <c r="EX661" s="1408"/>
      <c r="EY661" s="1408"/>
      <c r="EZ661" s="1408"/>
      <c r="FA661" s="1408"/>
    </row>
    <row r="662" spans="1:157" ht="12.9" customHeight="1">
      <c r="A662" s="22"/>
      <c r="B662" t="s">
        <v>17</v>
      </c>
      <c r="G662" s="1341" t="s">
        <v>2708</v>
      </c>
      <c r="H662" s="1341"/>
      <c r="I662" s="1341"/>
      <c r="J662" s="1341"/>
      <c r="K662" s="1341"/>
      <c r="L662" s="1341"/>
      <c r="M662" s="1341"/>
      <c r="N662" s="1341"/>
      <c r="O662" s="1341"/>
      <c r="P662" s="1341"/>
      <c r="Q662" s="1341"/>
      <c r="R662" s="1341"/>
      <c r="T662" s="22"/>
      <c r="U662" t="s">
        <v>17</v>
      </c>
      <c r="Z662" s="1410" t="s">
        <v>2616</v>
      </c>
      <c r="AA662" s="1410"/>
      <c r="AB662" s="1410"/>
      <c r="AC662" s="1410"/>
      <c r="AD662" s="1410"/>
      <c r="AE662" s="1410"/>
      <c r="AF662" s="1410"/>
      <c r="AG662" s="1410"/>
      <c r="AH662" s="1410"/>
      <c r="AI662" s="1410"/>
      <c r="AJ662" s="1410"/>
      <c r="AK662" s="14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8" t="e">
        <f t="shared" si="2"/>
        <v>#VALUE!</v>
      </c>
      <c r="DY662" s="1408"/>
      <c r="DZ662" s="1408"/>
      <c r="EA662" s="1408"/>
      <c r="EB662" s="1408"/>
      <c r="EC662" s="1408" t="e">
        <f t="shared" si="3"/>
        <v>#VALUE!</v>
      </c>
      <c r="ED662" s="1408"/>
      <c r="EE662" s="1408"/>
      <c r="EF662" s="1408"/>
      <c r="EG662" s="1408"/>
      <c r="EH662" s="1408" t="e">
        <f t="shared" si="4"/>
        <v>#VALUE!</v>
      </c>
      <c r="EI662" s="1408"/>
      <c r="EJ662" s="1408"/>
      <c r="EK662" s="1408"/>
      <c r="EL662" s="1408"/>
      <c r="EM662" s="1408" t="e">
        <f t="shared" si="5"/>
        <v>#VALUE!</v>
      </c>
      <c r="EN662" s="1408"/>
      <c r="EO662" s="1408"/>
      <c r="EP662" s="1408"/>
      <c r="EQ662" s="1408"/>
      <c r="ER662" s="1408" t="e">
        <f t="shared" si="6"/>
        <v>#VALUE!</v>
      </c>
      <c r="ES662" s="1408"/>
      <c r="ET662" s="1408"/>
      <c r="EU662" s="1408"/>
      <c r="EV662" s="1408"/>
      <c r="EW662" s="1408" t="e">
        <f t="shared" si="7"/>
        <v>#VALUE!</v>
      </c>
      <c r="EX662" s="1408"/>
      <c r="EY662" s="1408"/>
      <c r="EZ662" s="1408"/>
      <c r="FA662" s="1408"/>
    </row>
    <row r="663" spans="1:157" ht="12.9" customHeight="1">
      <c r="A663" s="22"/>
      <c r="B663" t="s">
        <v>316</v>
      </c>
      <c r="G663" s="1347">
        <v>7076162206</v>
      </c>
      <c r="H663" s="1347"/>
      <c r="I663" s="1347"/>
      <c r="J663" s="1347"/>
      <c r="K663" s="1347"/>
      <c r="L663" s="1347"/>
      <c r="O663" s="33" t="s">
        <v>206</v>
      </c>
      <c r="P663" s="1342"/>
      <c r="Q663" s="1342"/>
      <c r="R663" s="1342"/>
      <c r="T663" s="22"/>
      <c r="U663" t="s">
        <v>316</v>
      </c>
      <c r="Z663" s="1347">
        <v>7074414184</v>
      </c>
      <c r="AA663" s="1347"/>
      <c r="AB663" s="1347"/>
      <c r="AC663" s="1347"/>
      <c r="AD663" s="1347"/>
      <c r="AE663" s="1347"/>
      <c r="AH663" s="33" t="s">
        <v>206</v>
      </c>
      <c r="AI663" s="1342"/>
      <c r="AJ663" s="1342"/>
      <c r="AK663" s="134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8" t="e">
        <f t="shared" si="2"/>
        <v>#VALUE!</v>
      </c>
      <c r="DY663" s="1408"/>
      <c r="DZ663" s="1408"/>
      <c r="EA663" s="1408"/>
      <c r="EB663" s="1408"/>
      <c r="EC663" s="1408" t="e">
        <f t="shared" si="3"/>
        <v>#VALUE!</v>
      </c>
      <c r="ED663" s="1408"/>
      <c r="EE663" s="1408"/>
      <c r="EF663" s="1408"/>
      <c r="EG663" s="1408"/>
      <c r="EH663" s="1408" t="e">
        <f t="shared" si="4"/>
        <v>#VALUE!</v>
      </c>
      <c r="EI663" s="1408"/>
      <c r="EJ663" s="1408"/>
      <c r="EK663" s="1408"/>
      <c r="EL663" s="1408"/>
      <c r="EM663" s="1408" t="e">
        <f t="shared" si="5"/>
        <v>#VALUE!</v>
      </c>
      <c r="EN663" s="1408"/>
      <c r="EO663" s="1408"/>
      <c r="EP663" s="1408"/>
      <c r="EQ663" s="1408"/>
      <c r="ER663" s="1408" t="e">
        <f t="shared" si="6"/>
        <v>#VALUE!</v>
      </c>
      <c r="ES663" s="1408"/>
      <c r="ET663" s="1408"/>
      <c r="EU663" s="1408"/>
      <c r="EV663" s="1408"/>
      <c r="EW663" s="1408" t="e">
        <f t="shared" si="7"/>
        <v>#VALUE!</v>
      </c>
      <c r="EX663" s="1408"/>
      <c r="EY663" s="1408"/>
      <c r="EZ663" s="1408"/>
      <c r="FA663" s="1408"/>
    </row>
    <row r="664" spans="1:157" ht="12.9" customHeight="1">
      <c r="A664" s="22"/>
      <c r="B664" t="s">
        <v>18</v>
      </c>
      <c r="H664" s="1341" t="s">
        <v>2713</v>
      </c>
      <c r="I664" s="1341"/>
      <c r="J664" s="1341"/>
      <c r="K664" s="1341"/>
      <c r="L664" s="1341"/>
      <c r="M664" s="1341"/>
      <c r="N664" s="1341"/>
      <c r="O664" s="1341"/>
      <c r="P664" s="1341"/>
      <c r="Q664" s="1341"/>
      <c r="R664" s="1341"/>
      <c r="T664" s="22"/>
      <c r="U664" t="s">
        <v>18</v>
      </c>
      <c r="AA664" s="1341" t="s">
        <v>2714</v>
      </c>
      <c r="AB664" s="1341"/>
      <c r="AC664" s="1341"/>
      <c r="AD664" s="1341"/>
      <c r="AE664" s="1341"/>
      <c r="AF664" s="1341"/>
      <c r="AG664" s="1341"/>
      <c r="AH664" s="1341"/>
      <c r="AI664" s="1341"/>
      <c r="AJ664" s="1341"/>
      <c r="AK664" s="13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8" t="e">
        <f t="shared" si="2"/>
        <v>#VALUE!</v>
      </c>
      <c r="DY664" s="1408"/>
      <c r="DZ664" s="1408"/>
      <c r="EA664" s="1408"/>
      <c r="EB664" s="1408"/>
      <c r="EC664" s="1408" t="e">
        <f t="shared" si="3"/>
        <v>#VALUE!</v>
      </c>
      <c r="ED664" s="1408"/>
      <c r="EE664" s="1408"/>
      <c r="EF664" s="1408"/>
      <c r="EG664" s="1408"/>
      <c r="EH664" s="1408" t="e">
        <f t="shared" si="4"/>
        <v>#VALUE!</v>
      </c>
      <c r="EI664" s="1408"/>
      <c r="EJ664" s="1408"/>
      <c r="EK664" s="1408"/>
      <c r="EL664" s="1408"/>
      <c r="EM664" s="1408" t="e">
        <f t="shared" si="5"/>
        <v>#VALUE!</v>
      </c>
      <c r="EN664" s="1408"/>
      <c r="EO664" s="1408"/>
      <c r="EP664" s="1408"/>
      <c r="EQ664" s="1408"/>
      <c r="ER664" s="1408" t="e">
        <f t="shared" si="6"/>
        <v>#VALUE!</v>
      </c>
      <c r="ES664" s="1408"/>
      <c r="ET664" s="1408"/>
      <c r="EU664" s="1408"/>
      <c r="EV664" s="1408"/>
      <c r="EW664" s="1408" t="e">
        <f t="shared" si="7"/>
        <v>#VALUE!</v>
      </c>
      <c r="EX664" s="1408"/>
      <c r="EY664" s="1408"/>
      <c r="EZ664" s="1408"/>
      <c r="FA664" s="1408"/>
    </row>
    <row r="665" spans="1:157" ht="12.9" customHeight="1">
      <c r="A665" s="22"/>
      <c r="B665" t="s">
        <v>20</v>
      </c>
      <c r="N665" s="1337" t="s">
        <v>546</v>
      </c>
      <c r="O665" s="1337"/>
      <c r="T665" s="22"/>
      <c r="U665" t="s">
        <v>20</v>
      </c>
      <c r="AG665" s="1337" t="s">
        <v>546</v>
      </c>
      <c r="AH665" s="133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8" t="e">
        <f t="shared" si="2"/>
        <v>#VALUE!</v>
      </c>
      <c r="DY665" s="1408"/>
      <c r="DZ665" s="1408"/>
      <c r="EA665" s="1408"/>
      <c r="EB665" s="1408"/>
      <c r="EC665" s="1408" t="e">
        <f t="shared" si="3"/>
        <v>#VALUE!</v>
      </c>
      <c r="ED665" s="1408"/>
      <c r="EE665" s="1408"/>
      <c r="EF665" s="1408"/>
      <c r="EG665" s="1408"/>
      <c r="EH665" s="1408" t="e">
        <f t="shared" si="4"/>
        <v>#VALUE!</v>
      </c>
      <c r="EI665" s="1408"/>
      <c r="EJ665" s="1408"/>
      <c r="EK665" s="1408"/>
      <c r="EL665" s="1408"/>
      <c r="EM665" s="1408" t="e">
        <f t="shared" si="5"/>
        <v>#VALUE!</v>
      </c>
      <c r="EN665" s="1408"/>
      <c r="EO665" s="1408"/>
      <c r="EP665" s="1408"/>
      <c r="EQ665" s="1408"/>
      <c r="ER665" s="1408" t="e">
        <f t="shared" si="6"/>
        <v>#VALUE!</v>
      </c>
      <c r="ES665" s="1408"/>
      <c r="ET665" s="1408"/>
      <c r="EU665" s="1408"/>
      <c r="EV665" s="1408"/>
      <c r="EW665" s="1408" t="e">
        <f t="shared" si="7"/>
        <v>#VALUE!</v>
      </c>
      <c r="EX665" s="1408"/>
      <c r="EY665" s="1408"/>
      <c r="EZ665" s="1408"/>
      <c r="FA665" s="1408"/>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8" t="e">
        <f t="shared" si="2"/>
        <v>#VALUE!</v>
      </c>
      <c r="DY666" s="1408"/>
      <c r="DZ666" s="1408"/>
      <c r="EA666" s="1408"/>
      <c r="EB666" s="1408"/>
      <c r="EC666" s="1408" t="e">
        <f t="shared" si="3"/>
        <v>#VALUE!</v>
      </c>
      <c r="ED666" s="1408"/>
      <c r="EE666" s="1408"/>
      <c r="EF666" s="1408"/>
      <c r="EG666" s="1408"/>
      <c r="EH666" s="1408" t="e">
        <f t="shared" si="4"/>
        <v>#VALUE!</v>
      </c>
      <c r="EI666" s="1408"/>
      <c r="EJ666" s="1408"/>
      <c r="EK666" s="1408"/>
      <c r="EL666" s="1408"/>
      <c r="EM666" s="1408" t="e">
        <f t="shared" si="5"/>
        <v>#VALUE!</v>
      </c>
      <c r="EN666" s="1408"/>
      <c r="EO666" s="1408"/>
      <c r="EP666" s="1408"/>
      <c r="EQ666" s="1408"/>
      <c r="ER666" s="1408" t="e">
        <f t="shared" si="6"/>
        <v>#VALUE!</v>
      </c>
      <c r="ES666" s="1408"/>
      <c r="ET666" s="1408"/>
      <c r="EU666" s="1408"/>
      <c r="EV666" s="1408"/>
      <c r="EW666" s="1408" t="e">
        <f t="shared" si="7"/>
        <v>#VALUE!</v>
      </c>
      <c r="EX666" s="1408"/>
      <c r="EY666" s="1408"/>
      <c r="EZ666" s="1408"/>
      <c r="FA666" s="1408"/>
    </row>
    <row r="667" spans="1:157" ht="12.9" customHeight="1">
      <c r="A667" s="55" t="s">
        <v>456</v>
      </c>
      <c r="B667" t="s">
        <v>464</v>
      </c>
      <c r="G667" s="1336" t="str">
        <f>C633</f>
        <v>CPLHA</v>
      </c>
      <c r="H667" s="1336"/>
      <c r="I667" s="1336"/>
      <c r="J667" s="1336"/>
      <c r="K667" s="1336"/>
      <c r="L667" s="1336"/>
      <c r="M667" s="1336"/>
      <c r="N667" s="1336"/>
      <c r="O667" s="1336"/>
      <c r="P667" s="1336"/>
      <c r="Q667" s="1336"/>
      <c r="R667" s="1336"/>
      <c r="T667" s="55" t="s">
        <v>457</v>
      </c>
      <c r="U667" t="s">
        <v>464</v>
      </c>
      <c r="Z667" s="1336">
        <f>C634</f>
        <v>0</v>
      </c>
      <c r="AA667" s="1336"/>
      <c r="AB667" s="1336"/>
      <c r="AC667" s="1336"/>
      <c r="AD667" s="1336"/>
      <c r="AE667" s="1336"/>
      <c r="AF667" s="1336"/>
      <c r="AG667" s="1336"/>
      <c r="AH667" s="1336"/>
      <c r="AI667" s="1336"/>
      <c r="AJ667" s="1336"/>
      <c r="AK667" s="133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8" t="e">
        <f t="shared" si="2"/>
        <v>#VALUE!</v>
      </c>
      <c r="DY667" s="1408"/>
      <c r="DZ667" s="1408"/>
      <c r="EA667" s="1408"/>
      <c r="EB667" s="1408"/>
      <c r="EC667" s="1408" t="e">
        <f t="shared" si="3"/>
        <v>#VALUE!</v>
      </c>
      <c r="ED667" s="1408"/>
      <c r="EE667" s="1408"/>
      <c r="EF667" s="1408"/>
      <c r="EG667" s="1408"/>
      <c r="EH667" s="1408" t="e">
        <f t="shared" si="4"/>
        <v>#VALUE!</v>
      </c>
      <c r="EI667" s="1408"/>
      <c r="EJ667" s="1408"/>
      <c r="EK667" s="1408"/>
      <c r="EL667" s="1408"/>
      <c r="EM667" s="1408" t="e">
        <f t="shared" si="5"/>
        <v>#VALUE!</v>
      </c>
      <c r="EN667" s="1408"/>
      <c r="EO667" s="1408"/>
      <c r="EP667" s="1408"/>
      <c r="EQ667" s="1408"/>
      <c r="ER667" s="1408" t="e">
        <f t="shared" si="6"/>
        <v>#VALUE!</v>
      </c>
      <c r="ES667" s="1408"/>
      <c r="ET667" s="1408"/>
      <c r="EU667" s="1408"/>
      <c r="EV667" s="1408"/>
      <c r="EW667" s="1408" t="e">
        <f t="shared" si="7"/>
        <v>#VALUE!</v>
      </c>
      <c r="EX667" s="1408"/>
      <c r="EY667" s="1408"/>
      <c r="EZ667" s="1408"/>
      <c r="FA667" s="1408"/>
    </row>
    <row r="668" spans="1:157" ht="12.9" customHeight="1">
      <c r="A668" s="22"/>
      <c r="B668" t="s">
        <v>85</v>
      </c>
      <c r="G668" s="1341"/>
      <c r="H668" s="1341"/>
      <c r="I668" s="1341"/>
      <c r="J668" s="1341"/>
      <c r="K668" s="1341"/>
      <c r="L668" s="1341"/>
      <c r="M668" s="1341"/>
      <c r="N668" s="1341"/>
      <c r="O668" s="1341"/>
      <c r="P668" s="1341"/>
      <c r="Q668" s="1341"/>
      <c r="R668" s="1341"/>
      <c r="T668" s="22"/>
      <c r="U668" t="s">
        <v>85</v>
      </c>
      <c r="Z668" s="1341"/>
      <c r="AA668" s="1341"/>
      <c r="AB668" s="1341"/>
      <c r="AC668" s="1341"/>
      <c r="AD668" s="1341"/>
      <c r="AE668" s="1341"/>
      <c r="AF668" s="1341"/>
      <c r="AG668" s="1341"/>
      <c r="AH668" s="1341"/>
      <c r="AI668" s="1341"/>
      <c r="AJ668" s="1341"/>
      <c r="AK668" s="134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8" t="e">
        <f t="shared" si="2"/>
        <v>#VALUE!</v>
      </c>
      <c r="DY668" s="1408"/>
      <c r="DZ668" s="1408"/>
      <c r="EA668" s="1408"/>
      <c r="EB668" s="1408"/>
      <c r="EC668" s="1408" t="e">
        <f t="shared" si="3"/>
        <v>#VALUE!</v>
      </c>
      <c r="ED668" s="1408"/>
      <c r="EE668" s="1408"/>
      <c r="EF668" s="1408"/>
      <c r="EG668" s="1408"/>
      <c r="EH668" s="1408" t="e">
        <f t="shared" si="4"/>
        <v>#VALUE!</v>
      </c>
      <c r="EI668" s="1408"/>
      <c r="EJ668" s="1408"/>
      <c r="EK668" s="1408"/>
      <c r="EL668" s="1408"/>
      <c r="EM668" s="1408" t="e">
        <f t="shared" si="5"/>
        <v>#VALUE!</v>
      </c>
      <c r="EN668" s="1408"/>
      <c r="EO668" s="1408"/>
      <c r="EP668" s="1408"/>
      <c r="EQ668" s="1408"/>
      <c r="ER668" s="1408" t="e">
        <f t="shared" si="6"/>
        <v>#VALUE!</v>
      </c>
      <c r="ES668" s="1408"/>
      <c r="ET668" s="1408"/>
      <c r="EU668" s="1408"/>
      <c r="EV668" s="1408"/>
      <c r="EW668" s="1408" t="e">
        <f t="shared" si="7"/>
        <v>#VALUE!</v>
      </c>
      <c r="EX668" s="1408"/>
      <c r="EY668" s="1408"/>
      <c r="EZ668" s="1408"/>
      <c r="FA668" s="1408"/>
    </row>
    <row r="669" spans="1:157" ht="12.9" customHeight="1">
      <c r="A669" s="22"/>
      <c r="B669" t="s">
        <v>581</v>
      </c>
      <c r="G669" s="1341"/>
      <c r="H669" s="1341"/>
      <c r="I669" s="1341"/>
      <c r="J669" s="1341"/>
      <c r="K669" s="1341"/>
      <c r="L669" s="1341"/>
      <c r="M669" s="1341"/>
      <c r="N669" s="1341"/>
      <c r="O669" s="1341"/>
      <c r="P669" s="1341"/>
      <c r="Q669" s="1341"/>
      <c r="R669" s="1341"/>
      <c r="T669" s="22"/>
      <c r="U669" t="s">
        <v>581</v>
      </c>
      <c r="Z669" s="1410"/>
      <c r="AA669" s="1410"/>
      <c r="AB669" s="1410"/>
      <c r="AC669" s="1410"/>
      <c r="AD669" s="1410"/>
      <c r="AE669" s="1410"/>
      <c r="AF669" s="1410"/>
      <c r="AG669" s="1410"/>
      <c r="AH669" s="1410"/>
      <c r="AI669" s="1410"/>
      <c r="AJ669" s="1410"/>
      <c r="AK669" s="14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8" t="e">
        <f t="shared" si="2"/>
        <v>#VALUE!</v>
      </c>
      <c r="DY669" s="1408"/>
      <c r="DZ669" s="1408"/>
      <c r="EA669" s="1408"/>
      <c r="EB669" s="1408"/>
      <c r="EC669" s="1408" t="e">
        <f t="shared" si="3"/>
        <v>#VALUE!</v>
      </c>
      <c r="ED669" s="1408"/>
      <c r="EE669" s="1408"/>
      <c r="EF669" s="1408"/>
      <c r="EG669" s="1408"/>
      <c r="EH669" s="1408" t="e">
        <f t="shared" si="4"/>
        <v>#VALUE!</v>
      </c>
      <c r="EI669" s="1408"/>
      <c r="EJ669" s="1408"/>
      <c r="EK669" s="1408"/>
      <c r="EL669" s="1408"/>
      <c r="EM669" s="1408" t="e">
        <f t="shared" si="5"/>
        <v>#VALUE!</v>
      </c>
      <c r="EN669" s="1408"/>
      <c r="EO669" s="1408"/>
      <c r="EP669" s="1408"/>
      <c r="EQ669" s="1408"/>
      <c r="ER669" s="1408" t="e">
        <f t="shared" si="6"/>
        <v>#VALUE!</v>
      </c>
      <c r="ES669" s="1408"/>
      <c r="ET669" s="1408"/>
      <c r="EU669" s="1408"/>
      <c r="EV669" s="1408"/>
      <c r="EW669" s="1408" t="e">
        <f t="shared" si="7"/>
        <v>#VALUE!</v>
      </c>
      <c r="EX669" s="1408"/>
      <c r="EY669" s="1408"/>
      <c r="EZ669" s="1408"/>
      <c r="FA669" s="1408"/>
    </row>
    <row r="670" spans="1:157" ht="12.9" customHeight="1">
      <c r="A670" s="22"/>
      <c r="B670" t="s">
        <v>17</v>
      </c>
      <c r="G670" s="1341"/>
      <c r="H670" s="1341"/>
      <c r="I670" s="1341"/>
      <c r="J670" s="1341"/>
      <c r="K670" s="1341"/>
      <c r="L670" s="1341"/>
      <c r="M670" s="1341"/>
      <c r="N670" s="1341"/>
      <c r="O670" s="1341"/>
      <c r="P670" s="1341"/>
      <c r="Q670" s="1341"/>
      <c r="R670" s="1341"/>
      <c r="T670" s="22"/>
      <c r="U670" t="s">
        <v>17</v>
      </c>
      <c r="Z670" s="1410"/>
      <c r="AA670" s="1410"/>
      <c r="AB670" s="1410"/>
      <c r="AC670" s="1410"/>
      <c r="AD670" s="1410"/>
      <c r="AE670" s="1410"/>
      <c r="AF670" s="1410"/>
      <c r="AG670" s="1410"/>
      <c r="AH670" s="1410"/>
      <c r="AI670" s="1410"/>
      <c r="AJ670" s="1410"/>
      <c r="AK670" s="14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8">
        <f>SUMIF(DX635:EB669,"&gt;0")</f>
        <v>700.33333333333326</v>
      </c>
      <c r="DY670" s="1408"/>
      <c r="DZ670" s="1408"/>
      <c r="EA670" s="1408"/>
      <c r="EB670" s="1408"/>
      <c r="EC670" s="1408">
        <f>SUMIF(EC635:EG669,"&gt;0")</f>
        <v>1025.3333333333333</v>
      </c>
      <c r="ED670" s="1408"/>
      <c r="EE670" s="1408"/>
      <c r="EF670" s="1408"/>
      <c r="EG670" s="1408"/>
      <c r="EH670" s="1408">
        <f>SUMIF(EH635:EL669,"&gt;0")</f>
        <v>1011.75</v>
      </c>
      <c r="EI670" s="1408"/>
      <c r="EJ670" s="1408"/>
      <c r="EK670" s="1408"/>
      <c r="EL670" s="1408"/>
      <c r="EM670" s="1408">
        <f>SUMIF(EM635:EQ669,"&gt;0")</f>
        <v>1137.0833333333333</v>
      </c>
      <c r="EN670" s="1408"/>
      <c r="EO670" s="1408"/>
      <c r="EP670" s="1408"/>
      <c r="EQ670" s="1408"/>
      <c r="ER670" s="1408">
        <f>SUMIF(ER635:EV669,"&gt;0")</f>
        <v>0</v>
      </c>
      <c r="ES670" s="1408"/>
      <c r="ET670" s="1408"/>
      <c r="EU670" s="1408"/>
      <c r="EV670" s="1408"/>
      <c r="EW670" s="1408">
        <f>SUMIF(EW635:FA669,"&gt;0")</f>
        <v>0</v>
      </c>
      <c r="EX670" s="1408"/>
      <c r="EY670" s="1408"/>
      <c r="EZ670" s="1408"/>
      <c r="FA670" s="1408"/>
    </row>
    <row r="671" spans="1:157" ht="12.9" customHeight="1">
      <c r="A671" s="22"/>
      <c r="B671" t="s">
        <v>316</v>
      </c>
      <c r="G671" s="1347"/>
      <c r="H671" s="1347"/>
      <c r="I671" s="1347"/>
      <c r="J671" s="1347"/>
      <c r="K671" s="1347"/>
      <c r="L671" s="1347"/>
      <c r="O671" s="33" t="s">
        <v>206</v>
      </c>
      <c r="P671" s="1342"/>
      <c r="Q671" s="1342"/>
      <c r="R671" s="1342"/>
      <c r="T671" s="22"/>
      <c r="U671" t="s">
        <v>316</v>
      </c>
      <c r="Z671" s="1347"/>
      <c r="AA671" s="1347"/>
      <c r="AB671" s="1347"/>
      <c r="AC671" s="1347"/>
      <c r="AD671" s="1347"/>
      <c r="AE671" s="1347"/>
      <c r="AH671" s="33" t="s">
        <v>206</v>
      </c>
      <c r="AI671" s="1342"/>
      <c r="AJ671" s="1342"/>
      <c r="AK671" s="134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41"/>
      <c r="I672" s="1341"/>
      <c r="J672" s="1341"/>
      <c r="K672" s="1341"/>
      <c r="L672" s="1341"/>
      <c r="M672" s="1341"/>
      <c r="N672" s="1341"/>
      <c r="O672" s="1341"/>
      <c r="P672" s="1341"/>
      <c r="Q672" s="1341"/>
      <c r="R672" s="1341"/>
      <c r="T672" s="22"/>
      <c r="U672" t="s">
        <v>18</v>
      </c>
      <c r="AA672" s="1341"/>
      <c r="AB672" s="1341"/>
      <c r="AC672" s="1341"/>
      <c r="AD672" s="1341"/>
      <c r="AE672" s="1341"/>
      <c r="AF672" s="1341"/>
      <c r="AG672" s="1341"/>
      <c r="AH672" s="1341"/>
      <c r="AI672" s="1341"/>
      <c r="AJ672" s="1341"/>
      <c r="AK672" s="134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7"/>
      <c r="O673" s="1337"/>
      <c r="T673" s="22"/>
      <c r="U673" t="s">
        <v>20</v>
      </c>
      <c r="AG673" s="1337" t="s">
        <v>670</v>
      </c>
      <c r="AH673" s="1337"/>
      <c r="AZ673" s="3"/>
    </row>
    <row r="674" spans="1:52" ht="12.9" customHeight="1">
      <c r="A674" s="22"/>
      <c r="T674" s="22"/>
      <c r="AZ674" s="3"/>
    </row>
    <row r="675" spans="1:52" ht="12.9" customHeight="1">
      <c r="A675" s="55" t="s">
        <v>462</v>
      </c>
      <c r="B675" t="s">
        <v>464</v>
      </c>
      <c r="G675" s="1336">
        <f>C635</f>
        <v>0</v>
      </c>
      <c r="H675" s="1336"/>
      <c r="I675" s="1336"/>
      <c r="J675" s="1336"/>
      <c r="K675" s="1336"/>
      <c r="L675" s="1336"/>
      <c r="M675" s="1336"/>
      <c r="N675" s="1336"/>
      <c r="O675" s="1336"/>
      <c r="P675" s="1336"/>
      <c r="Q675" s="1336"/>
      <c r="R675" s="1336"/>
      <c r="T675" s="55" t="s">
        <v>647</v>
      </c>
      <c r="U675" t="s">
        <v>464</v>
      </c>
      <c r="Z675" s="1336">
        <f>C636</f>
        <v>0</v>
      </c>
      <c r="AA675" s="1336"/>
      <c r="AB675" s="1336"/>
      <c r="AC675" s="1336"/>
      <c r="AD675" s="1336"/>
      <c r="AE675" s="1336"/>
      <c r="AF675" s="1336"/>
      <c r="AG675" s="1336"/>
      <c r="AH675" s="1336"/>
      <c r="AI675" s="1336"/>
      <c r="AJ675" s="1336"/>
      <c r="AK675" s="1336"/>
      <c r="AZ675" s="3"/>
    </row>
    <row r="676" spans="1:52" ht="12.9" customHeight="1">
      <c r="A676" s="22"/>
      <c r="B676" t="s">
        <v>85</v>
      </c>
      <c r="G676" s="1341"/>
      <c r="H676" s="1341"/>
      <c r="I676" s="1341"/>
      <c r="J676" s="1341"/>
      <c r="K676" s="1341"/>
      <c r="L676" s="1341"/>
      <c r="M676" s="1341"/>
      <c r="N676" s="1341"/>
      <c r="O676" s="1341"/>
      <c r="P676" s="1341"/>
      <c r="Q676" s="1341"/>
      <c r="R676" s="1341"/>
      <c r="T676" s="22"/>
      <c r="U676" t="s">
        <v>85</v>
      </c>
      <c r="Z676" s="1341"/>
      <c r="AA676" s="1341"/>
      <c r="AB676" s="1341"/>
      <c r="AC676" s="1341"/>
      <c r="AD676" s="1341"/>
      <c r="AE676" s="1341"/>
      <c r="AF676" s="1341"/>
      <c r="AG676" s="1341"/>
      <c r="AH676" s="1341"/>
      <c r="AI676" s="1341"/>
      <c r="AJ676" s="1341"/>
      <c r="AK676" s="1341"/>
      <c r="AZ676" s="3"/>
    </row>
    <row r="677" spans="1:52" ht="12.9" customHeight="1">
      <c r="A677" s="22"/>
      <c r="B677" t="s">
        <v>581</v>
      </c>
      <c r="G677" s="1341"/>
      <c r="H677" s="1341"/>
      <c r="I677" s="1341"/>
      <c r="J677" s="1341"/>
      <c r="K677" s="1341"/>
      <c r="L677" s="1341"/>
      <c r="M677" s="1341"/>
      <c r="N677" s="1341"/>
      <c r="O677" s="1341"/>
      <c r="P677" s="1341"/>
      <c r="Q677" s="1341"/>
      <c r="R677" s="1341"/>
      <c r="T677" s="22"/>
      <c r="U677" t="s">
        <v>581</v>
      </c>
      <c r="Z677" s="1410"/>
      <c r="AA677" s="1410"/>
      <c r="AB677" s="1410"/>
      <c r="AC677" s="1410"/>
      <c r="AD677" s="1410"/>
      <c r="AE677" s="1410"/>
      <c r="AF677" s="1410"/>
      <c r="AG677" s="1410"/>
      <c r="AH677" s="1410"/>
      <c r="AI677" s="1410"/>
      <c r="AJ677" s="1410"/>
      <c r="AK677" s="1410"/>
      <c r="AZ677" s="3"/>
    </row>
    <row r="678" spans="1:52" ht="12.9" customHeight="1">
      <c r="A678" s="22"/>
      <c r="B678" t="s">
        <v>17</v>
      </c>
      <c r="G678" s="1341"/>
      <c r="H678" s="1341"/>
      <c r="I678" s="1341"/>
      <c r="J678" s="1341"/>
      <c r="K678" s="1341"/>
      <c r="L678" s="1341"/>
      <c r="M678" s="1341"/>
      <c r="N678" s="1341"/>
      <c r="O678" s="1341"/>
      <c r="P678" s="1341"/>
      <c r="Q678" s="1341"/>
      <c r="R678" s="1341"/>
      <c r="T678" s="22"/>
      <c r="U678" t="s">
        <v>17</v>
      </c>
      <c r="Z678" s="1410"/>
      <c r="AA678" s="1410"/>
      <c r="AB678" s="1410"/>
      <c r="AC678" s="1410"/>
      <c r="AD678" s="1410"/>
      <c r="AE678" s="1410"/>
      <c r="AF678" s="1410"/>
      <c r="AG678" s="1410"/>
      <c r="AH678" s="1410"/>
      <c r="AI678" s="1410"/>
      <c r="AJ678" s="1410"/>
      <c r="AK678" s="1410"/>
      <c r="AZ678" s="3"/>
    </row>
    <row r="679" spans="1:52" ht="12.9" customHeight="1">
      <c r="A679" s="22"/>
      <c r="B679" t="s">
        <v>316</v>
      </c>
      <c r="G679" s="1347"/>
      <c r="H679" s="1347"/>
      <c r="I679" s="1347"/>
      <c r="J679" s="1347"/>
      <c r="K679" s="1347"/>
      <c r="L679" s="1347"/>
      <c r="O679" s="33" t="s">
        <v>206</v>
      </c>
      <c r="P679" s="1342"/>
      <c r="Q679" s="1342"/>
      <c r="R679" s="1342"/>
      <c r="T679" s="22"/>
      <c r="U679" t="s">
        <v>316</v>
      </c>
      <c r="Z679" s="1347"/>
      <c r="AA679" s="1347"/>
      <c r="AB679" s="1347"/>
      <c r="AC679" s="1347"/>
      <c r="AD679" s="1347"/>
      <c r="AE679" s="1347"/>
      <c r="AH679" s="33" t="s">
        <v>206</v>
      </c>
      <c r="AI679" s="1342"/>
      <c r="AJ679" s="1342"/>
      <c r="AK679" s="1342"/>
      <c r="AZ679" s="3"/>
    </row>
    <row r="680" spans="1:52" ht="12.9" customHeight="1">
      <c r="A680" s="22"/>
      <c r="B680" t="s">
        <v>18</v>
      </c>
      <c r="H680" s="1341"/>
      <c r="I680" s="1341"/>
      <c r="J680" s="1341"/>
      <c r="K680" s="1341"/>
      <c r="L680" s="1341"/>
      <c r="M680" s="1341"/>
      <c r="N680" s="1341"/>
      <c r="O680" s="1341"/>
      <c r="P680" s="1341"/>
      <c r="Q680" s="1341"/>
      <c r="R680" s="1341"/>
      <c r="T680" s="22"/>
      <c r="U680" t="s">
        <v>18</v>
      </c>
      <c r="AA680" s="1341"/>
      <c r="AB680" s="1341"/>
      <c r="AC680" s="1341"/>
      <c r="AD680" s="1341"/>
      <c r="AE680" s="1341"/>
      <c r="AF680" s="1341"/>
      <c r="AG680" s="1341"/>
      <c r="AH680" s="1341"/>
      <c r="AI680" s="1341"/>
      <c r="AJ680" s="1341"/>
      <c r="AK680" s="1341"/>
      <c r="AZ680" s="3"/>
    </row>
    <row r="681" spans="1:52" ht="12.9" customHeight="1">
      <c r="A681" s="22"/>
      <c r="B681" t="s">
        <v>20</v>
      </c>
      <c r="N681" s="1337" t="s">
        <v>670</v>
      </c>
      <c r="O681" s="1337"/>
      <c r="T681" s="22"/>
      <c r="U681" t="s">
        <v>20</v>
      </c>
      <c r="AG681" s="1337" t="s">
        <v>670</v>
      </c>
      <c r="AH681" s="1337"/>
      <c r="AZ681" s="3"/>
    </row>
    <row r="682" spans="1:52" ht="12.9" customHeight="1">
      <c r="A682" s="22"/>
      <c r="T682" s="22"/>
      <c r="AZ682" s="3"/>
    </row>
    <row r="683" spans="1:52" ht="12.9" customHeight="1">
      <c r="A683" s="55" t="s">
        <v>362</v>
      </c>
      <c r="B683" t="s">
        <v>464</v>
      </c>
      <c r="G683" s="1336">
        <f>C637</f>
        <v>0</v>
      </c>
      <c r="H683" s="1336"/>
      <c r="I683" s="1336"/>
      <c r="J683" s="1336"/>
      <c r="K683" s="1336"/>
      <c r="L683" s="1336"/>
      <c r="M683" s="1336"/>
      <c r="N683" s="1336"/>
      <c r="O683" s="1336"/>
      <c r="P683" s="1336"/>
      <c r="Q683" s="1336"/>
      <c r="R683" s="1336"/>
      <c r="T683" s="55" t="s">
        <v>363</v>
      </c>
      <c r="U683" t="s">
        <v>464</v>
      </c>
      <c r="Z683" s="1336">
        <f>C638</f>
        <v>0</v>
      </c>
      <c r="AA683" s="1336"/>
      <c r="AB683" s="1336"/>
      <c r="AC683" s="1336"/>
      <c r="AD683" s="1336"/>
      <c r="AE683" s="1336"/>
      <c r="AF683" s="1336"/>
      <c r="AG683" s="1336"/>
      <c r="AH683" s="1336"/>
      <c r="AI683" s="1336"/>
      <c r="AJ683" s="1336"/>
      <c r="AK683" s="1336"/>
      <c r="AZ683" s="3"/>
    </row>
    <row r="684" spans="1:52" ht="12.9" customHeight="1">
      <c r="B684" t="s">
        <v>85</v>
      </c>
      <c r="G684" s="1341"/>
      <c r="H684" s="1341"/>
      <c r="I684" s="1341"/>
      <c r="J684" s="1341"/>
      <c r="K684" s="1341"/>
      <c r="L684" s="1341"/>
      <c r="M684" s="1341"/>
      <c r="N684" s="1341"/>
      <c r="O684" s="1341"/>
      <c r="P684" s="1341"/>
      <c r="Q684" s="1341"/>
      <c r="R684" s="1341"/>
      <c r="T684" s="22"/>
      <c r="U684" t="s">
        <v>85</v>
      </c>
      <c r="Z684" s="1341"/>
      <c r="AA684" s="1341"/>
      <c r="AB684" s="1341"/>
      <c r="AC684" s="1341"/>
      <c r="AD684" s="1341"/>
      <c r="AE684" s="1341"/>
      <c r="AF684" s="1341"/>
      <c r="AG684" s="1341"/>
      <c r="AH684" s="1341"/>
      <c r="AI684" s="1341"/>
      <c r="AJ684" s="1341"/>
      <c r="AK684" s="1341"/>
      <c r="AZ684" s="3"/>
    </row>
    <row r="685" spans="1:52" ht="12.9" customHeight="1">
      <c r="B685" t="s">
        <v>581</v>
      </c>
      <c r="G685" s="1341"/>
      <c r="H685" s="1341"/>
      <c r="I685" s="1341"/>
      <c r="J685" s="1341"/>
      <c r="K685" s="1341"/>
      <c r="L685" s="1341"/>
      <c r="M685" s="1341"/>
      <c r="N685" s="1341"/>
      <c r="O685" s="1341"/>
      <c r="P685" s="1341"/>
      <c r="Q685" s="1341"/>
      <c r="R685" s="1341"/>
      <c r="U685" t="s">
        <v>581</v>
      </c>
      <c r="Z685" s="1410"/>
      <c r="AA685" s="1410"/>
      <c r="AB685" s="1410"/>
      <c r="AC685" s="1410"/>
      <c r="AD685" s="1410"/>
      <c r="AE685" s="1410"/>
      <c r="AF685" s="1410"/>
      <c r="AG685" s="1410"/>
      <c r="AH685" s="1410"/>
      <c r="AI685" s="1410"/>
      <c r="AJ685" s="1410"/>
      <c r="AK685" s="1410"/>
      <c r="AZ685" s="3"/>
    </row>
    <row r="686" spans="1:52" ht="12.9" customHeight="1">
      <c r="B686" t="s">
        <v>17</v>
      </c>
      <c r="G686" s="1341"/>
      <c r="H686" s="1341"/>
      <c r="I686" s="1341"/>
      <c r="J686" s="1341"/>
      <c r="K686" s="1341"/>
      <c r="L686" s="1341"/>
      <c r="M686" s="1341"/>
      <c r="N686" s="1341"/>
      <c r="O686" s="1341"/>
      <c r="P686" s="1341"/>
      <c r="Q686" s="1341"/>
      <c r="R686" s="1341"/>
      <c r="U686" t="s">
        <v>17</v>
      </c>
      <c r="Z686" s="1410"/>
      <c r="AA686" s="1410"/>
      <c r="AB686" s="1410"/>
      <c r="AC686" s="1410"/>
      <c r="AD686" s="1410"/>
      <c r="AE686" s="1410"/>
      <c r="AF686" s="1410"/>
      <c r="AG686" s="1410"/>
      <c r="AH686" s="1410"/>
      <c r="AI686" s="1410"/>
      <c r="AJ686" s="1410"/>
      <c r="AK686" s="1410"/>
      <c r="AZ686" s="3"/>
    </row>
    <row r="687" spans="1:52" ht="12.9" customHeight="1">
      <c r="B687" t="s">
        <v>316</v>
      </c>
      <c r="G687" s="1347"/>
      <c r="H687" s="1347"/>
      <c r="I687" s="1347"/>
      <c r="J687" s="1347"/>
      <c r="K687" s="1347"/>
      <c r="L687" s="1347"/>
      <c r="O687" s="33" t="s">
        <v>206</v>
      </c>
      <c r="P687" s="1342"/>
      <c r="Q687" s="1342"/>
      <c r="R687" s="1342"/>
      <c r="U687" t="s">
        <v>316</v>
      </c>
      <c r="Z687" s="1347"/>
      <c r="AA687" s="1347"/>
      <c r="AB687" s="1347"/>
      <c r="AC687" s="1347"/>
      <c r="AD687" s="1347"/>
      <c r="AE687" s="1347"/>
      <c r="AH687" s="33" t="s">
        <v>206</v>
      </c>
      <c r="AI687" s="1342"/>
      <c r="AJ687" s="1342"/>
      <c r="AK687" s="1342"/>
      <c r="AZ687" s="3"/>
    </row>
    <row r="688" spans="1:52" ht="12.9" customHeight="1">
      <c r="B688" t="s">
        <v>18</v>
      </c>
      <c r="H688" s="1341"/>
      <c r="I688" s="1341"/>
      <c r="J688" s="1341"/>
      <c r="K688" s="1341"/>
      <c r="L688" s="1341"/>
      <c r="M688" s="1341"/>
      <c r="N688" s="1341"/>
      <c r="O688" s="1341"/>
      <c r="P688" s="1341"/>
      <c r="Q688" s="1341"/>
      <c r="R688" s="1341"/>
      <c r="U688" t="s">
        <v>18</v>
      </c>
      <c r="AA688" s="1341"/>
      <c r="AB688" s="1341"/>
      <c r="AC688" s="1341"/>
      <c r="AD688" s="1341"/>
      <c r="AE688" s="1341"/>
      <c r="AF688" s="1341"/>
      <c r="AG688" s="1341"/>
      <c r="AH688" s="1341"/>
      <c r="AI688" s="1341"/>
      <c r="AJ688" s="1341"/>
      <c r="AK688" s="1341"/>
      <c r="AZ688" s="3"/>
    </row>
    <row r="689" spans="1:67" ht="12.9" customHeight="1">
      <c r="B689" t="s">
        <v>20</v>
      </c>
      <c r="N689" s="1337" t="s">
        <v>670</v>
      </c>
      <c r="O689" s="1337"/>
      <c r="U689" t="s">
        <v>20</v>
      </c>
      <c r="AG689" s="1337" t="s">
        <v>670</v>
      </c>
      <c r="AH689" s="1337"/>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7" t="s">
        <v>670</v>
      </c>
      <c r="AF693" s="1337"/>
      <c r="AZ693" s="3"/>
    </row>
    <row r="694" spans="1:67" ht="12.9" customHeight="1">
      <c r="B694" s="135"/>
      <c r="C694" s="135"/>
      <c r="D694" s="136" t="s">
        <v>438</v>
      </c>
      <c r="E694" s="135"/>
      <c r="F694" s="135"/>
      <c r="G694" s="135"/>
      <c r="H694" s="135"/>
      <c r="AE694" s="1337" t="s">
        <v>670</v>
      </c>
      <c r="AF694" s="1337"/>
      <c r="AZ694" s="3"/>
    </row>
    <row r="695" spans="1:67" ht="12.9" customHeight="1">
      <c r="B695" s="135"/>
      <c r="C695" s="135"/>
      <c r="D695" s="136" t="s">
        <v>921</v>
      </c>
      <c r="E695" s="135"/>
      <c r="F695" s="135"/>
      <c r="G695" s="135"/>
      <c r="H695" s="135"/>
      <c r="AE695" s="1524">
        <v>45909</v>
      </c>
      <c r="AF695" s="1524"/>
      <c r="AG695" s="1524"/>
      <c r="AH695" s="1524"/>
      <c r="AI695" s="1524"/>
    </row>
    <row r="696" spans="1:67" ht="12.9" customHeight="1">
      <c r="B696" s="135"/>
      <c r="C696" s="135"/>
      <c r="D696" s="317" t="s">
        <v>984</v>
      </c>
      <c r="E696" s="135"/>
      <c r="F696" s="135"/>
      <c r="G696" s="135"/>
      <c r="H696" s="135"/>
      <c r="AE696" s="1689">
        <v>45980</v>
      </c>
      <c r="AF696" s="1689"/>
      <c r="AG696" s="1689"/>
      <c r="AH696" s="1689"/>
      <c r="AI696" s="1689"/>
    </row>
    <row r="697" spans="1:67" ht="12.9" customHeight="1">
      <c r="B697" s="135"/>
      <c r="C697" s="135"/>
    </row>
    <row r="698" spans="1:67" ht="12.9" customHeight="1">
      <c r="B698" s="135"/>
      <c r="C698" s="135"/>
      <c r="D698" s="136" t="s">
        <v>817</v>
      </c>
      <c r="E698" s="135"/>
      <c r="F698" s="135"/>
      <c r="G698" s="135"/>
      <c r="H698" s="135"/>
      <c r="AE698" s="1524">
        <v>46143</v>
      </c>
      <c r="AF698" s="1524"/>
      <c r="AG698" s="1524"/>
      <c r="AH698" s="1524"/>
      <c r="AI698" s="1524"/>
    </row>
    <row r="699" spans="1:67" ht="12.9" customHeight="1">
      <c r="B699" s="135"/>
      <c r="C699" s="135"/>
      <c r="D699" s="136" t="s">
        <v>436</v>
      </c>
      <c r="E699" s="135"/>
      <c r="F699" s="135"/>
      <c r="G699" s="135"/>
      <c r="H699" s="135"/>
      <c r="AE699" s="1704">
        <v>0.28999999999999998</v>
      </c>
      <c r="AF699" s="1704"/>
      <c r="AG699" s="1704"/>
      <c r="AH699" s="1704"/>
      <c r="AI699" s="1704"/>
    </row>
    <row r="700" spans="1:67" ht="12.9" customHeight="1">
      <c r="B700" s="135"/>
      <c r="C700" s="135"/>
      <c r="D700" s="136" t="s">
        <v>437</v>
      </c>
      <c r="E700" s="135"/>
      <c r="F700" s="135"/>
      <c r="G700" s="135"/>
      <c r="H700" s="135"/>
      <c r="W700" s="1336" t="str">
        <f>H335</f>
        <v xml:space="preserve">California Municipal Finance Authority </v>
      </c>
      <c r="X700" s="1336"/>
      <c r="Y700" s="1336"/>
      <c r="Z700" s="1336"/>
      <c r="AA700" s="1336"/>
      <c r="AB700" s="1336"/>
      <c r="AC700" s="1336"/>
      <c r="AD700" s="1336"/>
      <c r="AE700" s="1336"/>
      <c r="AF700" s="1336"/>
      <c r="AG700" s="1336"/>
      <c r="AH700" s="1336"/>
      <c r="AI700" s="1336"/>
      <c r="AJ700" s="1336"/>
      <c r="AK700" s="1336"/>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7" t="s">
        <v>670</v>
      </c>
      <c r="AF702" s="1337"/>
      <c r="AZ702" s="4" t="s">
        <v>324</v>
      </c>
    </row>
    <row r="703" spans="1:67" ht="12.9" customHeight="1">
      <c r="B703" s="135"/>
      <c r="C703" s="135"/>
      <c r="D703" s="136" t="s">
        <v>443</v>
      </c>
      <c r="E703" s="135"/>
      <c r="F703" s="135"/>
      <c r="G703" s="135"/>
      <c r="H703" s="135"/>
      <c r="W703" s="1341"/>
      <c r="X703" s="1341"/>
      <c r="Y703" s="1341"/>
      <c r="Z703" s="1341"/>
      <c r="AA703" s="1341"/>
      <c r="AB703" s="1341"/>
      <c r="AC703" s="1341"/>
      <c r="AD703" s="1341"/>
      <c r="AE703" s="1341"/>
      <c r="AF703" s="1341"/>
      <c r="AG703" s="1341"/>
      <c r="AH703" s="1341"/>
      <c r="AI703" s="1341"/>
      <c r="AJ703" s="1341"/>
      <c r="AK703" s="1341"/>
      <c r="AZ703" s="4" t="s">
        <v>325</v>
      </c>
    </row>
    <row r="704" spans="1:67" ht="12.9" customHeight="1">
      <c r="B704" s="135"/>
      <c r="C704" s="135"/>
      <c r="D704" s="136" t="s">
        <v>87</v>
      </c>
      <c r="E704" s="135"/>
      <c r="F704" s="135"/>
      <c r="G704" s="135"/>
      <c r="H704" s="135"/>
      <c r="J704" s="1341"/>
      <c r="K704" s="1341"/>
      <c r="L704" s="1341"/>
      <c r="M704" s="1341"/>
      <c r="N704" s="1341"/>
      <c r="O704" s="1341"/>
      <c r="P704" s="1341"/>
      <c r="Q704" s="1341"/>
      <c r="R704" s="1341"/>
      <c r="S704" s="1341"/>
      <c r="T704" s="1341"/>
      <c r="U704" s="1341"/>
      <c r="V704" s="1341"/>
      <c r="W704" s="1341"/>
      <c r="X704" s="1341"/>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206</v>
      </c>
      <c r="Q705" s="4"/>
      <c r="R705" s="1342"/>
      <c r="S705" s="1342"/>
      <c r="T705" s="134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41" t="s">
        <v>307</v>
      </c>
      <c r="X706" s="1341"/>
      <c r="Y706" s="1341"/>
      <c r="Z706" s="1341"/>
      <c r="AA706" s="1341"/>
      <c r="AB706" s="1341"/>
      <c r="AC706" s="1341"/>
      <c r="AD706" s="1341"/>
      <c r="AE706" s="1341"/>
      <c r="AF706" s="1341"/>
      <c r="AG706" s="1341"/>
      <c r="AH706" s="1341"/>
      <c r="AI706" s="1341"/>
      <c r="AJ706" s="1341"/>
      <c r="AK706" s="134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41" t="s">
        <v>334</v>
      </c>
      <c r="F707" s="1341"/>
      <c r="G707" s="1341"/>
      <c r="H707" s="1341"/>
      <c r="I707" s="1341"/>
      <c r="J707" s="1341"/>
      <c r="K707" s="1341"/>
      <c r="L707" s="1341"/>
      <c r="M707" s="1341"/>
      <c r="N707" s="1341"/>
      <c r="O707" s="1341"/>
      <c r="P707" s="1341"/>
      <c r="Q707" s="1341"/>
      <c r="R707" s="1341"/>
      <c r="S707" s="1341"/>
      <c r="T707" s="1341"/>
      <c r="U707" s="1341"/>
      <c r="V707" s="1341"/>
      <c r="W707" s="1341"/>
      <c r="X707" s="1341"/>
      <c r="Y707" s="1341"/>
      <c r="Z707" s="1341"/>
      <c r="AA707" s="1341"/>
      <c r="AB707" s="1341"/>
      <c r="AC707" s="1341"/>
      <c r="AD707" s="1341"/>
      <c r="AE707" s="1341"/>
      <c r="AF707" s="1341"/>
      <c r="AG707" s="1341"/>
      <c r="AH707" s="1341"/>
      <c r="AI707" s="1341"/>
      <c r="AJ707" s="1341"/>
      <c r="AK707" s="134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48" t="s">
        <v>389</v>
      </c>
      <c r="C714" s="1349"/>
      <c r="D714" s="1349"/>
      <c r="E714" s="1349"/>
      <c r="F714" s="1350"/>
      <c r="G714" s="1348" t="s">
        <v>285</v>
      </c>
      <c r="H714" s="1349"/>
      <c r="I714" s="1349"/>
      <c r="J714" s="1350"/>
      <c r="K714" s="1529" t="s">
        <v>1680</v>
      </c>
      <c r="L714" s="1530"/>
      <c r="M714" s="1530"/>
      <c r="N714" s="1531"/>
      <c r="O714" s="1348" t="s">
        <v>448</v>
      </c>
      <c r="P714" s="1349"/>
      <c r="Q714" s="1349"/>
      <c r="R714" s="1349"/>
      <c r="S714" s="1350"/>
      <c r="T714" s="1525" t="s">
        <v>1950</v>
      </c>
      <c r="U714" s="1349"/>
      <c r="V714" s="1349"/>
      <c r="W714" s="1350"/>
      <c r="X714" s="1525" t="s">
        <v>1952</v>
      </c>
      <c r="Y714" s="1349"/>
      <c r="Z714" s="1349"/>
      <c r="AA714" s="1349"/>
      <c r="AB714" s="1350"/>
      <c r="AC714" s="1525" t="s">
        <v>1951</v>
      </c>
      <c r="AD714" s="1349"/>
      <c r="AE714" s="1349"/>
      <c r="AF714" s="1349"/>
      <c r="AG714" s="1350"/>
      <c r="AH714" s="1525" t="s">
        <v>1953</v>
      </c>
      <c r="AI714" s="1349"/>
      <c r="AJ714" s="1350"/>
      <c r="AK714" s="1525" t="s">
        <v>1980</v>
      </c>
      <c r="AL714" s="1349"/>
      <c r="AM714" s="1349"/>
      <c r="AN714" s="1349"/>
      <c r="AO714" s="13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51"/>
      <c r="C715" s="1352"/>
      <c r="D715" s="1352"/>
      <c r="E715" s="1352"/>
      <c r="F715" s="1353"/>
      <c r="G715" s="1351"/>
      <c r="H715" s="1352"/>
      <c r="I715" s="1352"/>
      <c r="J715" s="1353"/>
      <c r="K715" s="1532"/>
      <c r="L715" s="1533"/>
      <c r="M715" s="1533"/>
      <c r="N715" s="1534"/>
      <c r="O715" s="1351"/>
      <c r="P715" s="1352"/>
      <c r="Q715" s="1352"/>
      <c r="R715" s="1352"/>
      <c r="S715" s="1353"/>
      <c r="T715" s="1351"/>
      <c r="U715" s="1352"/>
      <c r="V715" s="1352"/>
      <c r="W715" s="1353"/>
      <c r="X715" s="1351"/>
      <c r="Y715" s="1352"/>
      <c r="Z715" s="1352"/>
      <c r="AA715" s="1352"/>
      <c r="AB715" s="1353"/>
      <c r="AC715" s="1351"/>
      <c r="AD715" s="1352"/>
      <c r="AE715" s="1352"/>
      <c r="AF715" s="1352"/>
      <c r="AG715" s="1353"/>
      <c r="AH715" s="1351"/>
      <c r="AI715" s="1352"/>
      <c r="AJ715" s="1353"/>
      <c r="AK715" s="1351"/>
      <c r="AL715" s="1352"/>
      <c r="AM715" s="1352"/>
      <c r="AN715" s="1352"/>
      <c r="AO715" s="13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51"/>
      <c r="C716" s="1352"/>
      <c r="D716" s="1352"/>
      <c r="E716" s="1352"/>
      <c r="F716" s="1353"/>
      <c r="G716" s="1351"/>
      <c r="H716" s="1352"/>
      <c r="I716" s="1352"/>
      <c r="J716" s="1353"/>
      <c r="K716" s="1532"/>
      <c r="L716" s="1533"/>
      <c r="M716" s="1533"/>
      <c r="N716" s="1534"/>
      <c r="O716" s="1351"/>
      <c r="P716" s="1352"/>
      <c r="Q716" s="1352"/>
      <c r="R716" s="1352"/>
      <c r="S716" s="1353"/>
      <c r="T716" s="1351"/>
      <c r="U716" s="1352"/>
      <c r="V716" s="1352"/>
      <c r="W716" s="1353"/>
      <c r="X716" s="1351"/>
      <c r="Y716" s="1352"/>
      <c r="Z716" s="1352"/>
      <c r="AA716" s="1352"/>
      <c r="AB716" s="1353"/>
      <c r="AC716" s="1351"/>
      <c r="AD716" s="1352"/>
      <c r="AE716" s="1352"/>
      <c r="AF716" s="1352"/>
      <c r="AG716" s="1353"/>
      <c r="AH716" s="1351"/>
      <c r="AI716" s="1352"/>
      <c r="AJ716" s="1353"/>
      <c r="AK716" s="1351"/>
      <c r="AL716" s="1352"/>
      <c r="AM716" s="1352"/>
      <c r="AN716" s="1352"/>
      <c r="AO716" s="1353"/>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54"/>
      <c r="C717" s="1355"/>
      <c r="D717" s="1355"/>
      <c r="E717" s="1355"/>
      <c r="F717" s="1356"/>
      <c r="G717" s="1354"/>
      <c r="H717" s="1355"/>
      <c r="I717" s="1355"/>
      <c r="J717" s="1356"/>
      <c r="K717" s="1532"/>
      <c r="L717" s="1533"/>
      <c r="M717" s="1533"/>
      <c r="N717" s="1534"/>
      <c r="O717" s="1354"/>
      <c r="P717" s="1355"/>
      <c r="Q717" s="1355"/>
      <c r="R717" s="1355"/>
      <c r="S717" s="1356"/>
      <c r="T717" s="1354"/>
      <c r="U717" s="1355"/>
      <c r="V717" s="1355"/>
      <c r="W717" s="1356"/>
      <c r="X717" s="1354"/>
      <c r="Y717" s="1355"/>
      <c r="Z717" s="1355"/>
      <c r="AA717" s="1355"/>
      <c r="AB717" s="1356"/>
      <c r="AC717" s="1354"/>
      <c r="AD717" s="1355"/>
      <c r="AE717" s="1355"/>
      <c r="AF717" s="1355"/>
      <c r="AG717" s="1356"/>
      <c r="AH717" s="1354"/>
      <c r="AI717" s="1355"/>
      <c r="AJ717" s="1356"/>
      <c r="AK717" s="1354"/>
      <c r="AL717" s="1355"/>
      <c r="AM717" s="1355"/>
      <c r="AN717" s="1355"/>
      <c r="AO717" s="135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77"/>
      <c r="CJ717" s="1379"/>
      <c r="CK717" s="121" t="s">
        <v>476</v>
      </c>
      <c r="CL717" s="122"/>
      <c r="CM717" s="1377"/>
      <c r="CN717" s="1379"/>
      <c r="CO717" s="3"/>
      <c r="CP717" s="1797" t="s">
        <v>634</v>
      </c>
      <c r="CQ717" s="1798"/>
      <c r="CR717" s="1798"/>
      <c r="CS717" s="1798"/>
      <c r="CT717" s="1799"/>
      <c r="CU717" s="1520" t="s">
        <v>325</v>
      </c>
      <c r="CV717" s="1520"/>
      <c r="CW717" s="1520"/>
      <c r="CX717" s="1520"/>
      <c r="CY717" s="1520"/>
      <c r="CZ717" s="1520" t="s">
        <v>163</v>
      </c>
      <c r="DA717" s="1520"/>
      <c r="DB717" s="1520"/>
      <c r="DC717" s="1520"/>
      <c r="DD717" s="1520"/>
      <c r="DE717" s="1520" t="s">
        <v>164</v>
      </c>
      <c r="DF717" s="1520"/>
      <c r="DG717" s="1520"/>
      <c r="DH717" s="1520"/>
      <c r="DI717" s="1520"/>
      <c r="DJ717" s="1520" t="s">
        <v>461</v>
      </c>
      <c r="DK717" s="1520"/>
      <c r="DL717" s="1520"/>
      <c r="DM717" s="1520"/>
      <c r="DN717" s="1520"/>
      <c r="DO717" s="1520" t="s">
        <v>30</v>
      </c>
      <c r="DP717" s="1520"/>
      <c r="DQ717" s="1520"/>
      <c r="DR717" s="1520"/>
      <c r="DS717" s="1520"/>
      <c r="DT717" s="89"/>
      <c r="DU717" s="1520" t="s">
        <v>634</v>
      </c>
      <c r="DV717" s="1520"/>
      <c r="DW717" s="1520"/>
      <c r="DX717" s="1520"/>
      <c r="DY717" s="1520"/>
      <c r="DZ717" s="1520" t="s">
        <v>325</v>
      </c>
      <c r="EA717" s="1520"/>
      <c r="EB717" s="1520"/>
      <c r="EC717" s="1520"/>
      <c r="ED717" s="1520"/>
      <c r="EE717" s="1520" t="s">
        <v>163</v>
      </c>
      <c r="EF717" s="1520"/>
      <c r="EG717" s="1520"/>
      <c r="EH717" s="1520"/>
      <c r="EI717" s="1520"/>
      <c r="EJ717" s="1520" t="s">
        <v>164</v>
      </c>
      <c r="EK717" s="1520"/>
      <c r="EL717" s="1520"/>
      <c r="EM717" s="1520"/>
      <c r="EN717" s="1520"/>
      <c r="EO717" s="1520" t="s">
        <v>461</v>
      </c>
      <c r="EP717" s="1520"/>
      <c r="EQ717" s="1520"/>
      <c r="ER717" s="1520"/>
      <c r="ES717" s="1520"/>
      <c r="ET717" s="1520" t="s">
        <v>30</v>
      </c>
      <c r="EU717" s="1520"/>
      <c r="EV717" s="1520"/>
      <c r="EW717" s="1520"/>
      <c r="EX717" s="1520"/>
      <c r="EY717" s="4"/>
      <c r="EZ717" s="1520" t="s">
        <v>634</v>
      </c>
      <c r="FA717" s="1520"/>
      <c r="FB717" s="1520"/>
      <c r="FC717" s="1520"/>
      <c r="FD717" s="1520"/>
      <c r="FE717" s="1520" t="s">
        <v>325</v>
      </c>
      <c r="FF717" s="1520"/>
      <c r="FG717" s="1520"/>
      <c r="FH717" s="1520"/>
      <c r="FI717" s="1520"/>
      <c r="FJ717" s="1520" t="s">
        <v>163</v>
      </c>
      <c r="FK717" s="1520"/>
      <c r="FL717" s="1520"/>
      <c r="FM717" s="1520"/>
      <c r="FN717" s="1520"/>
      <c r="FO717" s="1520" t="s">
        <v>164</v>
      </c>
      <c r="FP717" s="1520"/>
      <c r="FQ717" s="1520"/>
      <c r="FR717" s="1520"/>
      <c r="FS717" s="1520"/>
      <c r="FT717" s="1520" t="s">
        <v>461</v>
      </c>
      <c r="FU717" s="1520"/>
      <c r="FV717" s="1520"/>
      <c r="FW717" s="1520"/>
      <c r="FX717" s="1520"/>
      <c r="FY717" s="1520" t="s">
        <v>30</v>
      </c>
      <c r="FZ717" s="1520"/>
      <c r="GA717" s="1520"/>
      <c r="GB717" s="1520"/>
      <c r="GC717" s="1520"/>
    </row>
    <row r="718" spans="1:185" ht="12.9" customHeight="1">
      <c r="A718" s="4"/>
      <c r="B718" s="1343" t="s">
        <v>324</v>
      </c>
      <c r="C718" s="1344"/>
      <c r="D718" s="1344"/>
      <c r="E718" s="1344"/>
      <c r="F718" s="1345"/>
      <c r="G718" s="1360">
        <v>1</v>
      </c>
      <c r="H718" s="1361"/>
      <c r="I718" s="1361"/>
      <c r="J718" s="1362"/>
      <c r="K718" s="1357">
        <v>442</v>
      </c>
      <c r="L718" s="1358"/>
      <c r="M718" s="1358"/>
      <c r="N718" s="1359"/>
      <c r="O718" s="1500">
        <f>493-12</f>
        <v>481</v>
      </c>
      <c r="P718" s="1501"/>
      <c r="Q718" s="1501"/>
      <c r="R718" s="1501"/>
      <c r="S718" s="1502"/>
      <c r="T718" s="1500">
        <v>12</v>
      </c>
      <c r="U718" s="1501"/>
      <c r="V718" s="1501"/>
      <c r="W718" s="1502"/>
      <c r="X718" s="1338">
        <f t="shared" ref="X718:X741" si="8">O718+T718</f>
        <v>493</v>
      </c>
      <c r="Y718" s="1339"/>
      <c r="Z718" s="1339"/>
      <c r="AA718" s="1339"/>
      <c r="AB718" s="1340"/>
      <c r="AC718" s="1636">
        <v>0.3</v>
      </c>
      <c r="AD718" s="1637"/>
      <c r="AE718" s="1637"/>
      <c r="AF718" s="1637"/>
      <c r="AG718" s="1638"/>
      <c r="AH718" s="1400">
        <f>IF($AC718&gt;0,($X718/$AZ718), "")</f>
        <v>0.29987834549878345</v>
      </c>
      <c r="AI718" s="1401"/>
      <c r="AJ718" s="1402"/>
      <c r="AK718" s="1397" t="s">
        <v>592</v>
      </c>
      <c r="AL718" s="1398"/>
      <c r="AM718" s="1398"/>
      <c r="AN718" s="1398"/>
      <c r="AO718" s="1399"/>
      <c r="AP718" s="3"/>
      <c r="AQ718" s="3"/>
      <c r="AR718" s="3"/>
      <c r="AS718" s="3"/>
      <c r="AZ718" s="118">
        <f t="shared" ref="AZ718:AZ752" si="9">IF($G718=0,"N/A",VLOOKUP($T$189,TC_Rent,(MATCH($B718,bedrooms,FALSE)),FALSE))</f>
        <v>1644</v>
      </c>
      <c r="BA718" s="3"/>
      <c r="BB718" s="3"/>
      <c r="BC718" s="3"/>
      <c r="BD718" s="3"/>
      <c r="BE718" s="204"/>
      <c r="BF718" s="293">
        <f t="shared" ref="BF718:BF752" si="10">G718</f>
        <v>1</v>
      </c>
      <c r="BG718" s="297">
        <f t="shared" ref="BG718:BG752" si="11">IF($BF$753=0,0,BF718/$BF$753)</f>
        <v>2.2222222222222223E-2</v>
      </c>
      <c r="BH718" s="298">
        <f t="shared" ref="BH718:BH752" si="12">IF(BG718=0,"",BG718*AC718)</f>
        <v>6.6666666666666671E-3</v>
      </c>
      <c r="BI718" s="3"/>
      <c r="BJ718" s="3"/>
      <c r="BK718" s="3"/>
      <c r="BL718" s="3"/>
      <c r="BM718" s="3"/>
      <c r="BN718" s="3"/>
      <c r="BS718" s="293">
        <f t="shared" ref="BS718:BS752" si="13">G718</f>
        <v>1</v>
      </c>
      <c r="BT718" s="297">
        <f t="shared" ref="BT718:BT752" si="14">IF($BS$753=0,0,BS718/$BS$753)</f>
        <v>2.2222222222222223E-2</v>
      </c>
      <c r="BU718" s="298">
        <f t="shared" ref="BU718:BU752" si="15">IF(BT718=0,"",BT718*AH718)</f>
        <v>6.6639632333062989E-3</v>
      </c>
      <c r="CC718" s="3"/>
      <c r="CD718" s="3"/>
      <c r="CE718" s="3"/>
      <c r="CF718" s="3"/>
      <c r="CG718" s="1393">
        <f>IF(AND(AC718&lt;=0.5,AC718&gt;=0.36),1,0)</f>
        <v>0</v>
      </c>
      <c r="CH718" s="1395"/>
      <c r="CI718" s="1377">
        <f>IF(CG718=1,G718,0)</f>
        <v>0</v>
      </c>
      <c r="CJ718" s="1379"/>
      <c r="CK718" s="1393">
        <f t="shared" ref="CK718:CK752" si="16">IF(AND(AC718&lt;=0.35,AC718&gt;0),1,0)</f>
        <v>1</v>
      </c>
      <c r="CL718" s="1395"/>
      <c r="CM718" s="1377">
        <f t="shared" ref="CM718:CM752" si="17">IF(CK718=1,G718,0)</f>
        <v>1</v>
      </c>
      <c r="CN718" s="1379"/>
      <c r="CO718" s="3"/>
      <c r="CP718" s="1374">
        <f t="shared" ref="CP718:CP752" si="18">IF(B718="SRO/Studio",G718,0)</f>
        <v>1</v>
      </c>
      <c r="CQ718" s="1375"/>
      <c r="CR718" s="1375"/>
      <c r="CS718" s="1375"/>
      <c r="CT718" s="1376"/>
      <c r="CU718" s="1396">
        <f t="shared" ref="CU718:CU752" si="19">IF(B718="1 Bedroom",G718,0)</f>
        <v>0</v>
      </c>
      <c r="CV718" s="1396"/>
      <c r="CW718" s="1396"/>
      <c r="CX718" s="1396"/>
      <c r="CY718" s="1396"/>
      <c r="CZ718" s="1396">
        <f t="shared" ref="CZ718:CZ752" si="20">IF(B718="2 Bedrooms",G718,0)</f>
        <v>0</v>
      </c>
      <c r="DA718" s="1396"/>
      <c r="DB718" s="1396"/>
      <c r="DC718" s="1396"/>
      <c r="DD718" s="1396"/>
      <c r="DE718" s="1396">
        <f t="shared" ref="DE718:DE752" si="21">IF(B718="3 Bedrooms",G718,0)</f>
        <v>0</v>
      </c>
      <c r="DF718" s="1396"/>
      <c r="DG718" s="1396"/>
      <c r="DH718" s="1396"/>
      <c r="DI718" s="1396"/>
      <c r="DJ718" s="1396">
        <f t="shared" ref="DJ718:DJ752" si="22">IF(B718="4 Bedrooms",G718,0)</f>
        <v>0</v>
      </c>
      <c r="DK718" s="1396"/>
      <c r="DL718" s="1396"/>
      <c r="DM718" s="1396"/>
      <c r="DN718" s="1396"/>
      <c r="DO718" s="1396">
        <f t="shared" ref="DO718:DO752" si="23">IF(B718="5 Bedrooms",G718,0)</f>
        <v>0</v>
      </c>
      <c r="DP718" s="1396"/>
      <c r="DQ718" s="1396"/>
      <c r="DR718" s="1396"/>
      <c r="DS718" s="1396"/>
      <c r="DT718" s="6"/>
      <c r="DU718" s="1407">
        <f t="shared" ref="DU718:DU752" si="24">IF(AND(B718="SRO/Studio",AC718&lt;=0.3),G718,0)</f>
        <v>1</v>
      </c>
      <c r="DV718" s="1407"/>
      <c r="DW718" s="1407"/>
      <c r="DX718" s="1407"/>
      <c r="DY718" s="1407"/>
      <c r="DZ718" s="1407">
        <f t="shared" ref="DZ718:DZ752" si="25">IF(AND(B718="1 Bedroom",AC718&lt;=0.3),G718,0)</f>
        <v>0</v>
      </c>
      <c r="EA718" s="1407"/>
      <c r="EB718" s="1407"/>
      <c r="EC718" s="1407"/>
      <c r="ED718" s="1407"/>
      <c r="EE718" s="1407">
        <f t="shared" ref="EE718:EE752" si="26">IF(AND(B718="2 Bedrooms",AC718&lt;=0.3),G718,0)</f>
        <v>0</v>
      </c>
      <c r="EF718" s="1407"/>
      <c r="EG718" s="1407"/>
      <c r="EH718" s="1407"/>
      <c r="EI718" s="1407"/>
      <c r="EJ718" s="1407">
        <f t="shared" ref="EJ718:EJ752" si="27">IF(AND(B718="3 Bedrooms",AC718&lt;=0.3),G718,0)</f>
        <v>0</v>
      </c>
      <c r="EK718" s="1407"/>
      <c r="EL718" s="1407"/>
      <c r="EM718" s="1407"/>
      <c r="EN718" s="1407"/>
      <c r="EO718" s="1407">
        <f t="shared" ref="EO718:EO752" si="28">IF(AND(B718="4 Bedrooms",AC718&lt;=0.3),G718,0)</f>
        <v>0</v>
      </c>
      <c r="EP718" s="1407"/>
      <c r="EQ718" s="1407"/>
      <c r="ER718" s="1407"/>
      <c r="ES718" s="1407"/>
      <c r="ET718" s="1407">
        <f t="shared" ref="ET718:ET752" si="29">IF(AND(B718="5 Bedrooms",AC718&lt;=0.3),G718,0)</f>
        <v>0</v>
      </c>
      <c r="EU718" s="1407"/>
      <c r="EV718" s="1407"/>
      <c r="EW718" s="1407"/>
      <c r="EX718" s="1407"/>
      <c r="EY718" s="4"/>
      <c r="EZ718" s="1393">
        <f t="shared" ref="EZ718:EZ752" si="30">IF(CP718&gt;0,O718,"")</f>
        <v>481</v>
      </c>
      <c r="FA718" s="1394"/>
      <c r="FB718" s="1394"/>
      <c r="FC718" s="1394"/>
      <c r="FD718" s="1395"/>
      <c r="FE718" s="1393" t="str">
        <f t="shared" ref="FE718:FE752" si="31">IF(CU718&gt;0,O718,"")</f>
        <v/>
      </c>
      <c r="FF718" s="1394"/>
      <c r="FG718" s="1394"/>
      <c r="FH718" s="1394"/>
      <c r="FI718" s="1395"/>
      <c r="FJ718" s="1393" t="str">
        <f t="shared" ref="FJ718:FJ752" si="32">IF(CZ718&gt;0,O718,"")</f>
        <v/>
      </c>
      <c r="FK718" s="1394"/>
      <c r="FL718" s="1394"/>
      <c r="FM718" s="1394"/>
      <c r="FN718" s="1395"/>
      <c r="FO718" s="1393" t="str">
        <f t="shared" ref="FO718:FO752" si="33">IF(DE718&gt;0,O718,"")</f>
        <v/>
      </c>
      <c r="FP718" s="1394"/>
      <c r="FQ718" s="1394"/>
      <c r="FR718" s="1394"/>
      <c r="FS718" s="1395"/>
      <c r="FT718" s="1393" t="str">
        <f t="shared" ref="FT718:FT752" si="34">IF(DJ718&gt;0,O718,"")</f>
        <v/>
      </c>
      <c r="FU718" s="1394"/>
      <c r="FV718" s="1394"/>
      <c r="FW718" s="1394"/>
      <c r="FX718" s="1395"/>
      <c r="FY718" s="1393" t="str">
        <f t="shared" ref="FY718:FY752" si="35">IF(DO718&gt;0,O718,"")</f>
        <v/>
      </c>
      <c r="FZ718" s="1394"/>
      <c r="GA718" s="1394"/>
      <c r="GB718" s="1394"/>
      <c r="GC718" s="1395"/>
    </row>
    <row r="719" spans="1:185" ht="12.9" customHeight="1">
      <c r="A719" s="4"/>
      <c r="B719" s="1343" t="s">
        <v>324</v>
      </c>
      <c r="C719" s="1344"/>
      <c r="D719" s="1344"/>
      <c r="E719" s="1344"/>
      <c r="F719" s="1345"/>
      <c r="G719" s="1360">
        <v>2</v>
      </c>
      <c r="H719" s="1361"/>
      <c r="I719" s="1361"/>
      <c r="J719" s="1362"/>
      <c r="K719" s="1357">
        <v>442</v>
      </c>
      <c r="L719" s="1358"/>
      <c r="M719" s="1358"/>
      <c r="N719" s="1359"/>
      <c r="O719" s="1500">
        <f>822-12</f>
        <v>810</v>
      </c>
      <c r="P719" s="1501"/>
      <c r="Q719" s="1501"/>
      <c r="R719" s="1501"/>
      <c r="S719" s="1502"/>
      <c r="T719" s="1500">
        <v>12</v>
      </c>
      <c r="U719" s="1501"/>
      <c r="V719" s="1501"/>
      <c r="W719" s="1502"/>
      <c r="X719" s="1338">
        <f t="shared" si="8"/>
        <v>822</v>
      </c>
      <c r="Y719" s="1339"/>
      <c r="Z719" s="1339"/>
      <c r="AA719" s="1339"/>
      <c r="AB719" s="1340"/>
      <c r="AC719" s="1636">
        <v>0.5</v>
      </c>
      <c r="AD719" s="1637"/>
      <c r="AE719" s="1637"/>
      <c r="AF719" s="1637"/>
      <c r="AG719" s="1638"/>
      <c r="AH719" s="1400">
        <f t="shared" ref="AH719:AH752" si="36">IF($AC719&gt;0,($X719/$AZ719), "")</f>
        <v>0.5</v>
      </c>
      <c r="AI719" s="1401"/>
      <c r="AJ719" s="1402"/>
      <c r="AK719" s="1397" t="s">
        <v>592</v>
      </c>
      <c r="AL719" s="1398"/>
      <c r="AM719" s="1398"/>
      <c r="AN719" s="1398"/>
      <c r="AO719" s="1399"/>
      <c r="AP719" s="3"/>
      <c r="AQ719" s="3"/>
      <c r="AR719" s="3"/>
      <c r="AS719" s="3"/>
      <c r="AZ719" s="118">
        <f t="shared" si="9"/>
        <v>1644</v>
      </c>
      <c r="BA719" s="3"/>
      <c r="BB719" s="3"/>
      <c r="BC719" s="3"/>
      <c r="BD719" s="3"/>
      <c r="BE719" s="204"/>
      <c r="BF719" s="294">
        <f t="shared" si="10"/>
        <v>2</v>
      </c>
      <c r="BG719" s="297">
        <f t="shared" si="11"/>
        <v>4.4444444444444446E-2</v>
      </c>
      <c r="BH719" s="298">
        <f t="shared" si="12"/>
        <v>2.2222222222222223E-2</v>
      </c>
      <c r="BI719" s="3"/>
      <c r="BJ719" s="3"/>
      <c r="BK719" s="3"/>
      <c r="BL719" s="3"/>
      <c r="BM719" s="3"/>
      <c r="BN719" s="3"/>
      <c r="BS719" s="294">
        <f t="shared" si="13"/>
        <v>2</v>
      </c>
      <c r="BT719" s="297">
        <f t="shared" si="14"/>
        <v>4.4444444444444446E-2</v>
      </c>
      <c r="BU719" s="298">
        <f t="shared" si="15"/>
        <v>2.2222222222222223E-2</v>
      </c>
      <c r="CC719" s="3"/>
      <c r="CD719" s="3"/>
      <c r="CE719" s="3"/>
      <c r="CF719" s="3"/>
      <c r="CG719" s="1393">
        <f t="shared" ref="CG719:CG752" si="37">IF(AND(AC719&lt;=0.5,AC719&gt;=0.36),1,0)</f>
        <v>1</v>
      </c>
      <c r="CH719" s="1395"/>
      <c r="CI719" s="1377">
        <f t="shared" ref="CI719:CI752" si="38">IF(CG719=1,G719,0)</f>
        <v>2</v>
      </c>
      <c r="CJ719" s="1379"/>
      <c r="CK719" s="1393">
        <f t="shared" si="16"/>
        <v>0</v>
      </c>
      <c r="CL719" s="1395"/>
      <c r="CM719" s="1377">
        <f t="shared" si="17"/>
        <v>0</v>
      </c>
      <c r="CN719" s="1379"/>
      <c r="CO719" s="3"/>
      <c r="CP719" s="1374">
        <f t="shared" si="18"/>
        <v>2</v>
      </c>
      <c r="CQ719" s="1375"/>
      <c r="CR719" s="1375"/>
      <c r="CS719" s="1375"/>
      <c r="CT719" s="1376"/>
      <c r="CU719" s="1396">
        <f t="shared" si="19"/>
        <v>0</v>
      </c>
      <c r="CV719" s="1396"/>
      <c r="CW719" s="1396"/>
      <c r="CX719" s="1396"/>
      <c r="CY719" s="1396"/>
      <c r="CZ719" s="1396">
        <f t="shared" si="20"/>
        <v>0</v>
      </c>
      <c r="DA719" s="1396"/>
      <c r="DB719" s="1396"/>
      <c r="DC719" s="1396"/>
      <c r="DD719" s="1396"/>
      <c r="DE719" s="1396">
        <f t="shared" si="21"/>
        <v>0</v>
      </c>
      <c r="DF719" s="1396"/>
      <c r="DG719" s="1396"/>
      <c r="DH719" s="1396"/>
      <c r="DI719" s="1396"/>
      <c r="DJ719" s="1396">
        <f t="shared" si="22"/>
        <v>0</v>
      </c>
      <c r="DK719" s="1396"/>
      <c r="DL719" s="1396"/>
      <c r="DM719" s="1396"/>
      <c r="DN719" s="1396"/>
      <c r="DO719" s="1396">
        <f t="shared" si="23"/>
        <v>0</v>
      </c>
      <c r="DP719" s="1396"/>
      <c r="DQ719" s="1396"/>
      <c r="DR719" s="1396"/>
      <c r="DS719" s="1396"/>
      <c r="DT719" s="6"/>
      <c r="DU719" s="1407">
        <f t="shared" si="24"/>
        <v>0</v>
      </c>
      <c r="DV719" s="1407"/>
      <c r="DW719" s="1407"/>
      <c r="DX719" s="1407"/>
      <c r="DY719" s="1407"/>
      <c r="DZ719" s="1407">
        <f t="shared" si="25"/>
        <v>0</v>
      </c>
      <c r="EA719" s="1407"/>
      <c r="EB719" s="1407"/>
      <c r="EC719" s="1407"/>
      <c r="ED719" s="1407"/>
      <c r="EE719" s="1407">
        <f t="shared" si="26"/>
        <v>0</v>
      </c>
      <c r="EF719" s="1407"/>
      <c r="EG719" s="1407"/>
      <c r="EH719" s="1407"/>
      <c r="EI719" s="1407"/>
      <c r="EJ719" s="1407">
        <f t="shared" si="27"/>
        <v>0</v>
      </c>
      <c r="EK719" s="1407"/>
      <c r="EL719" s="1407"/>
      <c r="EM719" s="1407"/>
      <c r="EN719" s="1407"/>
      <c r="EO719" s="1407">
        <f t="shared" si="28"/>
        <v>0</v>
      </c>
      <c r="EP719" s="1407"/>
      <c r="EQ719" s="1407"/>
      <c r="ER719" s="1407"/>
      <c r="ES719" s="1407"/>
      <c r="ET719" s="1407">
        <f t="shared" si="29"/>
        <v>0</v>
      </c>
      <c r="EU719" s="1407"/>
      <c r="EV719" s="1407"/>
      <c r="EW719" s="1407"/>
      <c r="EX719" s="1407"/>
      <c r="EY719" s="4"/>
      <c r="EZ719" s="1393">
        <f t="shared" si="30"/>
        <v>810</v>
      </c>
      <c r="FA719" s="1394"/>
      <c r="FB719" s="1394"/>
      <c r="FC719" s="1394"/>
      <c r="FD719" s="1395"/>
      <c r="FE719" s="1393" t="str">
        <f t="shared" si="31"/>
        <v/>
      </c>
      <c r="FF719" s="1394"/>
      <c r="FG719" s="1394"/>
      <c r="FH719" s="1394"/>
      <c r="FI719" s="1395"/>
      <c r="FJ719" s="1393" t="str">
        <f t="shared" si="32"/>
        <v/>
      </c>
      <c r="FK719" s="1394"/>
      <c r="FL719" s="1394"/>
      <c r="FM719" s="1394"/>
      <c r="FN719" s="1395"/>
      <c r="FO719" s="1393" t="str">
        <f t="shared" si="33"/>
        <v/>
      </c>
      <c r="FP719" s="1394"/>
      <c r="FQ719" s="1394"/>
      <c r="FR719" s="1394"/>
      <c r="FS719" s="1395"/>
      <c r="FT719" s="1393" t="str">
        <f t="shared" si="34"/>
        <v/>
      </c>
      <c r="FU719" s="1394"/>
      <c r="FV719" s="1394"/>
      <c r="FW719" s="1394"/>
      <c r="FX719" s="1395"/>
      <c r="FY719" s="1393" t="str">
        <f t="shared" si="35"/>
        <v/>
      </c>
      <c r="FZ719" s="1394"/>
      <c r="GA719" s="1394"/>
      <c r="GB719" s="1394"/>
      <c r="GC719" s="1395"/>
    </row>
    <row r="720" spans="1:185" ht="12.9" customHeight="1">
      <c r="A720" s="4"/>
      <c r="B720" s="1343" t="s">
        <v>325</v>
      </c>
      <c r="C720" s="1344"/>
      <c r="D720" s="1344"/>
      <c r="E720" s="1344"/>
      <c r="F720" s="1345"/>
      <c r="G720" s="1360">
        <v>2</v>
      </c>
      <c r="H720" s="1361"/>
      <c r="I720" s="1361"/>
      <c r="J720" s="1362"/>
      <c r="K720" s="1357">
        <v>624</v>
      </c>
      <c r="L720" s="1358"/>
      <c r="M720" s="1358"/>
      <c r="N720" s="1359"/>
      <c r="O720" s="1500">
        <f>528-12</f>
        <v>516</v>
      </c>
      <c r="P720" s="1501"/>
      <c r="Q720" s="1501"/>
      <c r="R720" s="1501"/>
      <c r="S720" s="1502"/>
      <c r="T720" s="1500">
        <v>12</v>
      </c>
      <c r="U720" s="1501"/>
      <c r="V720" s="1501"/>
      <c r="W720" s="1502"/>
      <c r="X720" s="1338">
        <f t="shared" si="8"/>
        <v>528</v>
      </c>
      <c r="Y720" s="1339"/>
      <c r="Z720" s="1339"/>
      <c r="AA720" s="1339"/>
      <c r="AB720" s="1340"/>
      <c r="AC720" s="1636">
        <v>0.3</v>
      </c>
      <c r="AD720" s="1637"/>
      <c r="AE720" s="1637"/>
      <c r="AF720" s="1637"/>
      <c r="AG720" s="1638"/>
      <c r="AH720" s="1400">
        <f t="shared" si="36"/>
        <v>0.29965947786606129</v>
      </c>
      <c r="AI720" s="1401"/>
      <c r="AJ720" s="1402"/>
      <c r="AK720" s="1397" t="s">
        <v>1044</v>
      </c>
      <c r="AL720" s="1398"/>
      <c r="AM720" s="1398"/>
      <c r="AN720" s="1398"/>
      <c r="AO720" s="1399"/>
      <c r="AP720" s="3"/>
      <c r="AQ720" s="3"/>
      <c r="AR720" s="3"/>
      <c r="AS720" s="3"/>
      <c r="AZ720" s="118">
        <f t="shared" si="9"/>
        <v>1762</v>
      </c>
      <c r="BA720" s="3"/>
      <c r="BB720" s="3"/>
      <c r="BC720" s="3"/>
      <c r="BD720" s="3"/>
      <c r="BE720" s="204"/>
      <c r="BF720" s="294">
        <f t="shared" si="10"/>
        <v>2</v>
      </c>
      <c r="BG720" s="297">
        <f t="shared" si="11"/>
        <v>4.4444444444444446E-2</v>
      </c>
      <c r="BH720" s="298">
        <f t="shared" si="12"/>
        <v>1.3333333333333334E-2</v>
      </c>
      <c r="BI720" s="3"/>
      <c r="BJ720" s="3"/>
      <c r="BK720" s="3"/>
      <c r="BL720" s="3"/>
      <c r="BM720" s="3"/>
      <c r="BN720" s="3"/>
      <c r="BS720" s="294">
        <f t="shared" si="13"/>
        <v>2</v>
      </c>
      <c r="BT720" s="297">
        <f t="shared" si="14"/>
        <v>4.4444444444444446E-2</v>
      </c>
      <c r="BU720" s="298">
        <f t="shared" si="15"/>
        <v>1.3318199016269391E-2</v>
      </c>
      <c r="CC720" s="3"/>
      <c r="CD720" s="3"/>
      <c r="CE720" s="3"/>
      <c r="CF720" s="3"/>
      <c r="CG720" s="1393">
        <f t="shared" si="37"/>
        <v>0</v>
      </c>
      <c r="CH720" s="1395"/>
      <c r="CI720" s="1377">
        <f t="shared" si="38"/>
        <v>0</v>
      </c>
      <c r="CJ720" s="1379"/>
      <c r="CK720" s="1393">
        <f t="shared" si="16"/>
        <v>1</v>
      </c>
      <c r="CL720" s="1395"/>
      <c r="CM720" s="1377">
        <f t="shared" si="17"/>
        <v>2</v>
      </c>
      <c r="CN720" s="1379"/>
      <c r="CO720" s="3"/>
      <c r="CP720" s="1374">
        <f t="shared" si="18"/>
        <v>0</v>
      </c>
      <c r="CQ720" s="1375"/>
      <c r="CR720" s="1375"/>
      <c r="CS720" s="1375"/>
      <c r="CT720" s="1376"/>
      <c r="CU720" s="1396">
        <f t="shared" si="19"/>
        <v>2</v>
      </c>
      <c r="CV720" s="1396"/>
      <c r="CW720" s="1396"/>
      <c r="CX720" s="1396"/>
      <c r="CY720" s="1396"/>
      <c r="CZ720" s="1396">
        <f t="shared" si="20"/>
        <v>0</v>
      </c>
      <c r="DA720" s="1396"/>
      <c r="DB720" s="1396"/>
      <c r="DC720" s="1396"/>
      <c r="DD720" s="1396"/>
      <c r="DE720" s="1396">
        <f t="shared" si="21"/>
        <v>0</v>
      </c>
      <c r="DF720" s="1396"/>
      <c r="DG720" s="1396"/>
      <c r="DH720" s="1396"/>
      <c r="DI720" s="1396"/>
      <c r="DJ720" s="1396">
        <f t="shared" si="22"/>
        <v>0</v>
      </c>
      <c r="DK720" s="1396"/>
      <c r="DL720" s="1396"/>
      <c r="DM720" s="1396"/>
      <c r="DN720" s="1396"/>
      <c r="DO720" s="1396">
        <f t="shared" si="23"/>
        <v>0</v>
      </c>
      <c r="DP720" s="1396"/>
      <c r="DQ720" s="1396"/>
      <c r="DR720" s="1396"/>
      <c r="DS720" s="1396"/>
      <c r="DT720" s="6"/>
      <c r="DU720" s="1407">
        <f t="shared" si="24"/>
        <v>0</v>
      </c>
      <c r="DV720" s="1407"/>
      <c r="DW720" s="1407"/>
      <c r="DX720" s="1407"/>
      <c r="DY720" s="1407"/>
      <c r="DZ720" s="1407">
        <f t="shared" si="25"/>
        <v>2</v>
      </c>
      <c r="EA720" s="1407"/>
      <c r="EB720" s="1407"/>
      <c r="EC720" s="1407"/>
      <c r="ED720" s="1407"/>
      <c r="EE720" s="1407">
        <f t="shared" si="26"/>
        <v>0</v>
      </c>
      <c r="EF720" s="1407"/>
      <c r="EG720" s="1407"/>
      <c r="EH720" s="1407"/>
      <c r="EI720" s="1407"/>
      <c r="EJ720" s="1407">
        <f t="shared" si="27"/>
        <v>0</v>
      </c>
      <c r="EK720" s="1407"/>
      <c r="EL720" s="1407"/>
      <c r="EM720" s="1407"/>
      <c r="EN720" s="1407"/>
      <c r="EO720" s="1407">
        <f t="shared" si="28"/>
        <v>0</v>
      </c>
      <c r="EP720" s="1407"/>
      <c r="EQ720" s="1407"/>
      <c r="ER720" s="1407"/>
      <c r="ES720" s="1407"/>
      <c r="ET720" s="1407">
        <f t="shared" si="29"/>
        <v>0</v>
      </c>
      <c r="EU720" s="1407"/>
      <c r="EV720" s="1407"/>
      <c r="EW720" s="1407"/>
      <c r="EX720" s="1407"/>
      <c r="EZ720" s="1393" t="str">
        <f t="shared" si="30"/>
        <v/>
      </c>
      <c r="FA720" s="1394"/>
      <c r="FB720" s="1394"/>
      <c r="FC720" s="1394"/>
      <c r="FD720" s="1395"/>
      <c r="FE720" s="1393">
        <f t="shared" si="31"/>
        <v>516</v>
      </c>
      <c r="FF720" s="1394"/>
      <c r="FG720" s="1394"/>
      <c r="FH720" s="1394"/>
      <c r="FI720" s="1395"/>
      <c r="FJ720" s="1393" t="str">
        <f t="shared" si="32"/>
        <v/>
      </c>
      <c r="FK720" s="1394"/>
      <c r="FL720" s="1394"/>
      <c r="FM720" s="1394"/>
      <c r="FN720" s="1395"/>
      <c r="FO720" s="1393" t="str">
        <f t="shared" si="33"/>
        <v/>
      </c>
      <c r="FP720" s="1394"/>
      <c r="FQ720" s="1394"/>
      <c r="FR720" s="1394"/>
      <c r="FS720" s="1395"/>
      <c r="FT720" s="1393" t="str">
        <f t="shared" si="34"/>
        <v/>
      </c>
      <c r="FU720" s="1394"/>
      <c r="FV720" s="1394"/>
      <c r="FW720" s="1394"/>
      <c r="FX720" s="1395"/>
      <c r="FY720" s="1393" t="str">
        <f t="shared" si="35"/>
        <v/>
      </c>
      <c r="FZ720" s="1394"/>
      <c r="GA720" s="1394"/>
      <c r="GB720" s="1394"/>
      <c r="GC720" s="1395"/>
    </row>
    <row r="721" spans="1:185" ht="12.9" customHeight="1">
      <c r="B721" s="1343" t="s">
        <v>325</v>
      </c>
      <c r="C721" s="1344"/>
      <c r="D721" s="1344"/>
      <c r="E721" s="1344"/>
      <c r="F721" s="1345"/>
      <c r="G721" s="1360">
        <v>5</v>
      </c>
      <c r="H721" s="1361"/>
      <c r="I721" s="1361"/>
      <c r="J721" s="1362"/>
      <c r="K721" s="1357">
        <v>624</v>
      </c>
      <c r="L721" s="1358"/>
      <c r="M721" s="1358"/>
      <c r="N721" s="1359"/>
      <c r="O721" s="1500">
        <f>881-12</f>
        <v>869</v>
      </c>
      <c r="P721" s="1501"/>
      <c r="Q721" s="1501"/>
      <c r="R721" s="1501"/>
      <c r="S721" s="1502"/>
      <c r="T721" s="1500">
        <v>12</v>
      </c>
      <c r="U721" s="1501"/>
      <c r="V721" s="1501"/>
      <c r="W721" s="1502"/>
      <c r="X721" s="1338">
        <f t="shared" si="8"/>
        <v>881</v>
      </c>
      <c r="Y721" s="1339"/>
      <c r="Z721" s="1339"/>
      <c r="AA721" s="1339"/>
      <c r="AB721" s="1340"/>
      <c r="AC721" s="1636">
        <v>0.5</v>
      </c>
      <c r="AD721" s="1637"/>
      <c r="AE721" s="1637"/>
      <c r="AF721" s="1637"/>
      <c r="AG721" s="1638"/>
      <c r="AH721" s="1400">
        <f t="shared" si="36"/>
        <v>0.5</v>
      </c>
      <c r="AI721" s="1401"/>
      <c r="AJ721" s="1402"/>
      <c r="AK721" s="1397" t="s">
        <v>1044</v>
      </c>
      <c r="AL721" s="1398"/>
      <c r="AM721" s="1398"/>
      <c r="AN721" s="1398"/>
      <c r="AO721" s="1399"/>
      <c r="AP721" s="3"/>
      <c r="AQ721" s="3"/>
      <c r="AR721" s="3"/>
      <c r="AS721" s="3"/>
      <c r="AY721" s="116"/>
      <c r="AZ721" s="118">
        <f t="shared" si="9"/>
        <v>1762</v>
      </c>
      <c r="BA721" s="3"/>
      <c r="BB721" s="3"/>
      <c r="BC721" s="3"/>
      <c r="BD721" s="3"/>
      <c r="BE721" s="204"/>
      <c r="BF721" s="294">
        <f t="shared" si="10"/>
        <v>5</v>
      </c>
      <c r="BG721" s="297">
        <f t="shared" si="11"/>
        <v>0.1111111111111111</v>
      </c>
      <c r="BH721" s="298">
        <f t="shared" si="12"/>
        <v>5.5555555555555552E-2</v>
      </c>
      <c r="BI721" s="3"/>
      <c r="BJ721" s="3"/>
      <c r="BK721" s="3"/>
      <c r="BL721" s="3"/>
      <c r="BM721" s="3"/>
      <c r="BN721" s="3"/>
      <c r="BS721" s="294">
        <f t="shared" si="13"/>
        <v>5</v>
      </c>
      <c r="BT721" s="297">
        <f t="shared" si="14"/>
        <v>0.1111111111111111</v>
      </c>
      <c r="BU721" s="298">
        <f t="shared" si="15"/>
        <v>5.5555555555555552E-2</v>
      </c>
      <c r="CC721" s="3"/>
      <c r="CD721" s="3"/>
      <c r="CE721" s="3"/>
      <c r="CF721" s="3"/>
      <c r="CG721" s="1393">
        <f t="shared" si="37"/>
        <v>1</v>
      </c>
      <c r="CH721" s="1395"/>
      <c r="CI721" s="1377">
        <f t="shared" si="38"/>
        <v>5</v>
      </c>
      <c r="CJ721" s="1379"/>
      <c r="CK721" s="1393">
        <f t="shared" si="16"/>
        <v>0</v>
      </c>
      <c r="CL721" s="1395"/>
      <c r="CM721" s="1377">
        <f t="shared" si="17"/>
        <v>0</v>
      </c>
      <c r="CN721" s="1379"/>
      <c r="CO721" s="3"/>
      <c r="CP721" s="1374">
        <f t="shared" si="18"/>
        <v>0</v>
      </c>
      <c r="CQ721" s="1375"/>
      <c r="CR721" s="1375"/>
      <c r="CS721" s="1375"/>
      <c r="CT721" s="1376"/>
      <c r="CU721" s="1396">
        <f t="shared" si="19"/>
        <v>5</v>
      </c>
      <c r="CV721" s="1396"/>
      <c r="CW721" s="1396"/>
      <c r="CX721" s="1396"/>
      <c r="CY721" s="1396"/>
      <c r="CZ721" s="1396">
        <f t="shared" si="20"/>
        <v>0</v>
      </c>
      <c r="DA721" s="1396"/>
      <c r="DB721" s="1396"/>
      <c r="DC721" s="1396"/>
      <c r="DD721" s="1396"/>
      <c r="DE721" s="1396">
        <f t="shared" si="21"/>
        <v>0</v>
      </c>
      <c r="DF721" s="1396"/>
      <c r="DG721" s="1396"/>
      <c r="DH721" s="1396"/>
      <c r="DI721" s="1396"/>
      <c r="DJ721" s="1396">
        <f t="shared" si="22"/>
        <v>0</v>
      </c>
      <c r="DK721" s="1396"/>
      <c r="DL721" s="1396"/>
      <c r="DM721" s="1396"/>
      <c r="DN721" s="1396"/>
      <c r="DO721" s="1396">
        <f t="shared" si="23"/>
        <v>0</v>
      </c>
      <c r="DP721" s="1396"/>
      <c r="DQ721" s="1396"/>
      <c r="DR721" s="1396"/>
      <c r="DS721" s="1396"/>
      <c r="DT721" s="6"/>
      <c r="DU721" s="1407">
        <f t="shared" si="24"/>
        <v>0</v>
      </c>
      <c r="DV721" s="1407"/>
      <c r="DW721" s="1407"/>
      <c r="DX721" s="1407"/>
      <c r="DY721" s="1407"/>
      <c r="DZ721" s="1407">
        <f t="shared" si="25"/>
        <v>0</v>
      </c>
      <c r="EA721" s="1407"/>
      <c r="EB721" s="1407"/>
      <c r="EC721" s="1407"/>
      <c r="ED721" s="1407"/>
      <c r="EE721" s="1407">
        <f t="shared" si="26"/>
        <v>0</v>
      </c>
      <c r="EF721" s="1407"/>
      <c r="EG721" s="1407"/>
      <c r="EH721" s="1407"/>
      <c r="EI721" s="1407"/>
      <c r="EJ721" s="1407">
        <f t="shared" si="27"/>
        <v>0</v>
      </c>
      <c r="EK721" s="1407"/>
      <c r="EL721" s="1407"/>
      <c r="EM721" s="1407"/>
      <c r="EN721" s="1407"/>
      <c r="EO721" s="1407">
        <f t="shared" si="28"/>
        <v>0</v>
      </c>
      <c r="EP721" s="1407"/>
      <c r="EQ721" s="1407"/>
      <c r="ER721" s="1407"/>
      <c r="ES721" s="1407"/>
      <c r="ET721" s="1407">
        <f t="shared" si="29"/>
        <v>0</v>
      </c>
      <c r="EU721" s="1407"/>
      <c r="EV721" s="1407"/>
      <c r="EW721" s="1407"/>
      <c r="EX721" s="1407"/>
      <c r="EZ721" s="1393" t="str">
        <f t="shared" si="30"/>
        <v/>
      </c>
      <c r="FA721" s="1394"/>
      <c r="FB721" s="1394"/>
      <c r="FC721" s="1394"/>
      <c r="FD721" s="1395"/>
      <c r="FE721" s="1393">
        <f t="shared" si="31"/>
        <v>869</v>
      </c>
      <c r="FF721" s="1394"/>
      <c r="FG721" s="1394"/>
      <c r="FH721" s="1394"/>
      <c r="FI721" s="1395"/>
      <c r="FJ721" s="1393" t="str">
        <f t="shared" si="32"/>
        <v/>
      </c>
      <c r="FK721" s="1394"/>
      <c r="FL721" s="1394"/>
      <c r="FM721" s="1394"/>
      <c r="FN721" s="1395"/>
      <c r="FO721" s="1393" t="str">
        <f t="shared" si="33"/>
        <v/>
      </c>
      <c r="FP721" s="1394"/>
      <c r="FQ721" s="1394"/>
      <c r="FR721" s="1394"/>
      <c r="FS721" s="1395"/>
      <c r="FT721" s="1393" t="str">
        <f t="shared" si="34"/>
        <v/>
      </c>
      <c r="FU721" s="1394"/>
      <c r="FV721" s="1394"/>
      <c r="FW721" s="1394"/>
      <c r="FX721" s="1395"/>
      <c r="FY721" s="1393" t="str">
        <f t="shared" si="35"/>
        <v/>
      </c>
      <c r="FZ721" s="1394"/>
      <c r="GA721" s="1394"/>
      <c r="GB721" s="1394"/>
      <c r="GC721" s="1395"/>
    </row>
    <row r="722" spans="1:185" ht="12.9" customHeight="1">
      <c r="B722" s="1343" t="s">
        <v>325</v>
      </c>
      <c r="C722" s="1344"/>
      <c r="D722" s="1344"/>
      <c r="E722" s="1344"/>
      <c r="F722" s="1345"/>
      <c r="G722" s="1360">
        <v>2</v>
      </c>
      <c r="H722" s="1361"/>
      <c r="I722" s="1361"/>
      <c r="J722" s="1362"/>
      <c r="K722" s="1357">
        <v>624</v>
      </c>
      <c r="L722" s="1358"/>
      <c r="M722" s="1358"/>
      <c r="N722" s="1359"/>
      <c r="O722" s="1500">
        <f>1057-12</f>
        <v>1045</v>
      </c>
      <c r="P722" s="1501"/>
      <c r="Q722" s="1501"/>
      <c r="R722" s="1501"/>
      <c r="S722" s="1502"/>
      <c r="T722" s="1500">
        <v>12</v>
      </c>
      <c r="U722" s="1501"/>
      <c r="V722" s="1501"/>
      <c r="W722" s="1502"/>
      <c r="X722" s="1338">
        <f t="shared" si="8"/>
        <v>1057</v>
      </c>
      <c r="Y722" s="1339"/>
      <c r="Z722" s="1339"/>
      <c r="AA722" s="1339"/>
      <c r="AB722" s="1340"/>
      <c r="AC722" s="1636">
        <v>0.6</v>
      </c>
      <c r="AD722" s="1637"/>
      <c r="AE722" s="1637"/>
      <c r="AF722" s="1637"/>
      <c r="AG722" s="1638"/>
      <c r="AH722" s="1400">
        <f t="shared" si="36"/>
        <v>0.59988649262202043</v>
      </c>
      <c r="AI722" s="1401"/>
      <c r="AJ722" s="1402"/>
      <c r="AK722" s="1397" t="s">
        <v>1044</v>
      </c>
      <c r="AL722" s="1398"/>
      <c r="AM722" s="1398"/>
      <c r="AN722" s="1398"/>
      <c r="AO722" s="1399"/>
      <c r="AP722" s="3"/>
      <c r="AQ722" s="3"/>
      <c r="AR722" s="3"/>
      <c r="AS722" s="3"/>
      <c r="AY722" s="116"/>
      <c r="AZ722" s="118">
        <f t="shared" si="9"/>
        <v>1762</v>
      </c>
      <c r="BA722" s="3"/>
      <c r="BB722" s="3"/>
      <c r="BC722" s="3"/>
      <c r="BD722" s="3"/>
      <c r="BE722" s="204"/>
      <c r="BF722" s="294">
        <f t="shared" si="10"/>
        <v>2</v>
      </c>
      <c r="BG722" s="297">
        <f t="shared" si="11"/>
        <v>4.4444444444444446E-2</v>
      </c>
      <c r="BH722" s="298">
        <f t="shared" si="12"/>
        <v>2.6666666666666668E-2</v>
      </c>
      <c r="BI722" s="3"/>
      <c r="BJ722" s="3"/>
      <c r="BK722" s="3"/>
      <c r="BL722" s="3"/>
      <c r="BM722" s="3"/>
      <c r="BN722" s="3"/>
      <c r="BS722" s="294">
        <f t="shared" si="13"/>
        <v>2</v>
      </c>
      <c r="BT722" s="297">
        <f t="shared" si="14"/>
        <v>4.4444444444444446E-2</v>
      </c>
      <c r="BU722" s="298">
        <f t="shared" si="15"/>
        <v>2.666162189431202E-2</v>
      </c>
      <c r="CC722" s="3"/>
      <c r="CD722" s="3"/>
      <c r="CE722" s="3"/>
      <c r="CF722" s="3"/>
      <c r="CG722" s="1393">
        <f t="shared" si="37"/>
        <v>0</v>
      </c>
      <c r="CH722" s="1395"/>
      <c r="CI722" s="1377">
        <f t="shared" si="38"/>
        <v>0</v>
      </c>
      <c r="CJ722" s="1379"/>
      <c r="CK722" s="1393">
        <f t="shared" si="16"/>
        <v>0</v>
      </c>
      <c r="CL722" s="1395"/>
      <c r="CM722" s="1377">
        <f t="shared" si="17"/>
        <v>0</v>
      </c>
      <c r="CN722" s="1379"/>
      <c r="CO722" s="3"/>
      <c r="CP722" s="1374">
        <f t="shared" si="18"/>
        <v>0</v>
      </c>
      <c r="CQ722" s="1375"/>
      <c r="CR722" s="1375"/>
      <c r="CS722" s="1375"/>
      <c r="CT722" s="1376"/>
      <c r="CU722" s="1396">
        <f t="shared" si="19"/>
        <v>2</v>
      </c>
      <c r="CV722" s="1396"/>
      <c r="CW722" s="1396"/>
      <c r="CX722" s="1396"/>
      <c r="CY722" s="1396"/>
      <c r="CZ722" s="1396">
        <f t="shared" si="20"/>
        <v>0</v>
      </c>
      <c r="DA722" s="1396"/>
      <c r="DB722" s="1396"/>
      <c r="DC722" s="1396"/>
      <c r="DD722" s="1396"/>
      <c r="DE722" s="1396">
        <f t="shared" si="21"/>
        <v>0</v>
      </c>
      <c r="DF722" s="1396"/>
      <c r="DG722" s="1396"/>
      <c r="DH722" s="1396"/>
      <c r="DI722" s="1396"/>
      <c r="DJ722" s="1396">
        <f t="shared" si="22"/>
        <v>0</v>
      </c>
      <c r="DK722" s="1396"/>
      <c r="DL722" s="1396"/>
      <c r="DM722" s="1396"/>
      <c r="DN722" s="1396"/>
      <c r="DO722" s="1396">
        <f t="shared" si="23"/>
        <v>0</v>
      </c>
      <c r="DP722" s="1396"/>
      <c r="DQ722" s="1396"/>
      <c r="DR722" s="1396"/>
      <c r="DS722" s="1396"/>
      <c r="DT722" s="6"/>
      <c r="DU722" s="1407">
        <f t="shared" si="24"/>
        <v>0</v>
      </c>
      <c r="DV722" s="1407"/>
      <c r="DW722" s="1407"/>
      <c r="DX722" s="1407"/>
      <c r="DY722" s="1407"/>
      <c r="DZ722" s="1407">
        <f t="shared" si="25"/>
        <v>0</v>
      </c>
      <c r="EA722" s="1407"/>
      <c r="EB722" s="1407"/>
      <c r="EC722" s="1407"/>
      <c r="ED722" s="1407"/>
      <c r="EE722" s="1407">
        <f t="shared" si="26"/>
        <v>0</v>
      </c>
      <c r="EF722" s="1407"/>
      <c r="EG722" s="1407"/>
      <c r="EH722" s="1407"/>
      <c r="EI722" s="1407"/>
      <c r="EJ722" s="1407">
        <f t="shared" si="27"/>
        <v>0</v>
      </c>
      <c r="EK722" s="1407"/>
      <c r="EL722" s="1407"/>
      <c r="EM722" s="1407"/>
      <c r="EN722" s="1407"/>
      <c r="EO722" s="1407">
        <f t="shared" si="28"/>
        <v>0</v>
      </c>
      <c r="EP722" s="1407"/>
      <c r="EQ722" s="1407"/>
      <c r="ER722" s="1407"/>
      <c r="ES722" s="1407"/>
      <c r="ET722" s="1407">
        <f t="shared" si="29"/>
        <v>0</v>
      </c>
      <c r="EU722" s="1407"/>
      <c r="EV722" s="1407"/>
      <c r="EW722" s="1407"/>
      <c r="EX722" s="1407"/>
      <c r="EZ722" s="1393" t="str">
        <f t="shared" si="30"/>
        <v/>
      </c>
      <c r="FA722" s="1394"/>
      <c r="FB722" s="1394"/>
      <c r="FC722" s="1394"/>
      <c r="FD722" s="1395"/>
      <c r="FE722" s="1393">
        <f t="shared" si="31"/>
        <v>1045</v>
      </c>
      <c r="FF722" s="1394"/>
      <c r="FG722" s="1394"/>
      <c r="FH722" s="1394"/>
      <c r="FI722" s="1395"/>
      <c r="FJ722" s="1393" t="str">
        <f t="shared" si="32"/>
        <v/>
      </c>
      <c r="FK722" s="1394"/>
      <c r="FL722" s="1394"/>
      <c r="FM722" s="1394"/>
      <c r="FN722" s="1395"/>
      <c r="FO722" s="1393" t="str">
        <f t="shared" si="33"/>
        <v/>
      </c>
      <c r="FP722" s="1394"/>
      <c r="FQ722" s="1394"/>
      <c r="FR722" s="1394"/>
      <c r="FS722" s="1395"/>
      <c r="FT722" s="1393" t="str">
        <f t="shared" si="34"/>
        <v/>
      </c>
      <c r="FU722" s="1394"/>
      <c r="FV722" s="1394"/>
      <c r="FW722" s="1394"/>
      <c r="FX722" s="1395"/>
      <c r="FY722" s="1393" t="str">
        <f t="shared" si="35"/>
        <v/>
      </c>
      <c r="FZ722" s="1394"/>
      <c r="GA722" s="1394"/>
      <c r="GB722" s="1394"/>
      <c r="GC722" s="1395"/>
    </row>
    <row r="723" spans="1:185" ht="12.9" customHeight="1">
      <c r="B723" s="1343" t="s">
        <v>325</v>
      </c>
      <c r="C723" s="1344"/>
      <c r="D723" s="1344"/>
      <c r="E723" s="1344"/>
      <c r="F723" s="1345"/>
      <c r="G723" s="1360">
        <v>9</v>
      </c>
      <c r="H723" s="1361"/>
      <c r="I723" s="1361"/>
      <c r="J723" s="1362"/>
      <c r="K723" s="1357">
        <v>624</v>
      </c>
      <c r="L723" s="1358"/>
      <c r="M723" s="1358"/>
      <c r="N723" s="1359"/>
      <c r="O723" s="1500">
        <f>1233-12</f>
        <v>1221</v>
      </c>
      <c r="P723" s="1501"/>
      <c r="Q723" s="1501"/>
      <c r="R723" s="1501"/>
      <c r="S723" s="1502"/>
      <c r="T723" s="1500">
        <v>12</v>
      </c>
      <c r="U723" s="1501"/>
      <c r="V723" s="1501"/>
      <c r="W723" s="1502"/>
      <c r="X723" s="1338">
        <f t="shared" si="8"/>
        <v>1233</v>
      </c>
      <c r="Y723" s="1339"/>
      <c r="Z723" s="1339"/>
      <c r="AA723" s="1339"/>
      <c r="AB723" s="1340"/>
      <c r="AC723" s="1636">
        <v>0.7</v>
      </c>
      <c r="AD723" s="1637"/>
      <c r="AE723" s="1637"/>
      <c r="AF723" s="1637"/>
      <c r="AG723" s="1638"/>
      <c r="AH723" s="1400">
        <f t="shared" si="36"/>
        <v>0.69977298524404086</v>
      </c>
      <c r="AI723" s="1401"/>
      <c r="AJ723" s="1402"/>
      <c r="AK723" s="1397" t="s">
        <v>592</v>
      </c>
      <c r="AL723" s="1398"/>
      <c r="AM723" s="1398"/>
      <c r="AN723" s="1398"/>
      <c r="AO723" s="1399"/>
      <c r="AP723" s="3"/>
      <c r="AQ723" s="3"/>
      <c r="AR723" s="3"/>
      <c r="AS723" s="3"/>
      <c r="AY723" s="116"/>
      <c r="AZ723" s="118">
        <f t="shared" si="9"/>
        <v>1762</v>
      </c>
      <c r="BA723" s="3"/>
      <c r="BB723" s="3"/>
      <c r="BC723" s="3"/>
      <c r="BD723" s="3"/>
      <c r="BE723" s="204"/>
      <c r="BF723" s="294">
        <f t="shared" si="10"/>
        <v>9</v>
      </c>
      <c r="BG723" s="297">
        <f t="shared" si="11"/>
        <v>0.2</v>
      </c>
      <c r="BH723" s="298">
        <f t="shared" si="12"/>
        <v>0.13999999999999999</v>
      </c>
      <c r="BI723" s="3"/>
      <c r="BJ723" s="3"/>
      <c r="BK723" s="3"/>
      <c r="BL723" s="3"/>
      <c r="BM723" s="3"/>
      <c r="BN723" s="3"/>
      <c r="BS723" s="294">
        <f t="shared" si="13"/>
        <v>9</v>
      </c>
      <c r="BT723" s="297">
        <f t="shared" si="14"/>
        <v>0.2</v>
      </c>
      <c r="BU723" s="298">
        <f t="shared" si="15"/>
        <v>0.13995459704880817</v>
      </c>
      <c r="CC723" s="3"/>
      <c r="CD723" s="3"/>
      <c r="CE723" s="3"/>
      <c r="CF723" s="3"/>
      <c r="CG723" s="1393">
        <f t="shared" si="37"/>
        <v>0</v>
      </c>
      <c r="CH723" s="1395"/>
      <c r="CI723" s="1377">
        <f t="shared" si="38"/>
        <v>0</v>
      </c>
      <c r="CJ723" s="1379"/>
      <c r="CK723" s="1393">
        <f t="shared" si="16"/>
        <v>0</v>
      </c>
      <c r="CL723" s="1395"/>
      <c r="CM723" s="1377">
        <f t="shared" si="17"/>
        <v>0</v>
      </c>
      <c r="CN723" s="1379"/>
      <c r="CO723" s="3"/>
      <c r="CP723" s="1374">
        <f t="shared" si="18"/>
        <v>0</v>
      </c>
      <c r="CQ723" s="1375"/>
      <c r="CR723" s="1375"/>
      <c r="CS723" s="1375"/>
      <c r="CT723" s="1376"/>
      <c r="CU723" s="1396">
        <f t="shared" si="19"/>
        <v>9</v>
      </c>
      <c r="CV723" s="1396"/>
      <c r="CW723" s="1396"/>
      <c r="CX723" s="1396"/>
      <c r="CY723" s="1396"/>
      <c r="CZ723" s="1396">
        <f t="shared" si="20"/>
        <v>0</v>
      </c>
      <c r="DA723" s="1396"/>
      <c r="DB723" s="1396"/>
      <c r="DC723" s="1396"/>
      <c r="DD723" s="1396"/>
      <c r="DE723" s="1396">
        <f t="shared" si="21"/>
        <v>0</v>
      </c>
      <c r="DF723" s="1396"/>
      <c r="DG723" s="1396"/>
      <c r="DH723" s="1396"/>
      <c r="DI723" s="1396"/>
      <c r="DJ723" s="1396">
        <f t="shared" si="22"/>
        <v>0</v>
      </c>
      <c r="DK723" s="1396"/>
      <c r="DL723" s="1396"/>
      <c r="DM723" s="1396"/>
      <c r="DN723" s="1396"/>
      <c r="DO723" s="1396">
        <f t="shared" si="23"/>
        <v>0</v>
      </c>
      <c r="DP723" s="1396"/>
      <c r="DQ723" s="1396"/>
      <c r="DR723" s="1396"/>
      <c r="DS723" s="1396"/>
      <c r="DT723" s="6"/>
      <c r="DU723" s="1407">
        <f t="shared" si="24"/>
        <v>0</v>
      </c>
      <c r="DV723" s="1407"/>
      <c r="DW723" s="1407"/>
      <c r="DX723" s="1407"/>
      <c r="DY723" s="1407"/>
      <c r="DZ723" s="1407">
        <f t="shared" si="25"/>
        <v>0</v>
      </c>
      <c r="EA723" s="1407"/>
      <c r="EB723" s="1407"/>
      <c r="EC723" s="1407"/>
      <c r="ED723" s="1407"/>
      <c r="EE723" s="1407">
        <f t="shared" si="26"/>
        <v>0</v>
      </c>
      <c r="EF723" s="1407"/>
      <c r="EG723" s="1407"/>
      <c r="EH723" s="1407"/>
      <c r="EI723" s="1407"/>
      <c r="EJ723" s="1407">
        <f t="shared" si="27"/>
        <v>0</v>
      </c>
      <c r="EK723" s="1407"/>
      <c r="EL723" s="1407"/>
      <c r="EM723" s="1407"/>
      <c r="EN723" s="1407"/>
      <c r="EO723" s="1407">
        <f t="shared" si="28"/>
        <v>0</v>
      </c>
      <c r="EP723" s="1407"/>
      <c r="EQ723" s="1407"/>
      <c r="ER723" s="1407"/>
      <c r="ES723" s="1407"/>
      <c r="ET723" s="1407">
        <f t="shared" si="29"/>
        <v>0</v>
      </c>
      <c r="EU723" s="1407"/>
      <c r="EV723" s="1407"/>
      <c r="EW723" s="1407"/>
      <c r="EX723" s="1407"/>
      <c r="EZ723" s="1393" t="str">
        <f t="shared" si="30"/>
        <v/>
      </c>
      <c r="FA723" s="1394"/>
      <c r="FB723" s="1394"/>
      <c r="FC723" s="1394"/>
      <c r="FD723" s="1395"/>
      <c r="FE723" s="1393">
        <f t="shared" si="31"/>
        <v>1221</v>
      </c>
      <c r="FF723" s="1394"/>
      <c r="FG723" s="1394"/>
      <c r="FH723" s="1394"/>
      <c r="FI723" s="1395"/>
      <c r="FJ723" s="1393" t="str">
        <f t="shared" si="32"/>
        <v/>
      </c>
      <c r="FK723" s="1394"/>
      <c r="FL723" s="1394"/>
      <c r="FM723" s="1394"/>
      <c r="FN723" s="1395"/>
      <c r="FO723" s="1393" t="str">
        <f t="shared" si="33"/>
        <v/>
      </c>
      <c r="FP723" s="1394"/>
      <c r="FQ723" s="1394"/>
      <c r="FR723" s="1394"/>
      <c r="FS723" s="1395"/>
      <c r="FT723" s="1393" t="str">
        <f t="shared" si="34"/>
        <v/>
      </c>
      <c r="FU723" s="1394"/>
      <c r="FV723" s="1394"/>
      <c r="FW723" s="1394"/>
      <c r="FX723" s="1395"/>
      <c r="FY723" s="1393" t="str">
        <f t="shared" si="35"/>
        <v/>
      </c>
      <c r="FZ723" s="1394"/>
      <c r="GA723" s="1394"/>
      <c r="GB723" s="1394"/>
      <c r="GC723" s="1395"/>
    </row>
    <row r="724" spans="1:185" ht="12.9" customHeight="1">
      <c r="B724" s="1343" t="s">
        <v>163</v>
      </c>
      <c r="C724" s="1344"/>
      <c r="D724" s="1344"/>
      <c r="E724" s="1344"/>
      <c r="F724" s="1345"/>
      <c r="G724" s="1360">
        <v>1</v>
      </c>
      <c r="H724" s="1361"/>
      <c r="I724" s="1361"/>
      <c r="J724" s="1362"/>
      <c r="K724" s="1357">
        <v>988</v>
      </c>
      <c r="L724" s="1358"/>
      <c r="M724" s="1358"/>
      <c r="N724" s="1359"/>
      <c r="O724" s="1500">
        <f>634-12</f>
        <v>622</v>
      </c>
      <c r="P724" s="1501"/>
      <c r="Q724" s="1501"/>
      <c r="R724" s="1501"/>
      <c r="S724" s="1502"/>
      <c r="T724" s="1500">
        <v>12</v>
      </c>
      <c r="U724" s="1501"/>
      <c r="V724" s="1501"/>
      <c r="W724" s="1502"/>
      <c r="X724" s="1338">
        <f t="shared" si="8"/>
        <v>634</v>
      </c>
      <c r="Y724" s="1339"/>
      <c r="Z724" s="1339"/>
      <c r="AA724" s="1339"/>
      <c r="AB724" s="1340"/>
      <c r="AC724" s="1636">
        <v>0.3</v>
      </c>
      <c r="AD724" s="1637"/>
      <c r="AE724" s="1637"/>
      <c r="AF724" s="1637"/>
      <c r="AG724" s="1638"/>
      <c r="AH724" s="1400">
        <f t="shared" si="36"/>
        <v>0.29990539262062443</v>
      </c>
      <c r="AI724" s="1401"/>
      <c r="AJ724" s="1402"/>
      <c r="AK724" s="1397" t="s">
        <v>1044</v>
      </c>
      <c r="AL724" s="1398"/>
      <c r="AM724" s="1398"/>
      <c r="AN724" s="1398"/>
      <c r="AO724" s="1399"/>
      <c r="AP724" s="3"/>
      <c r="AQ724" s="3"/>
      <c r="AR724" s="3"/>
      <c r="AS724" s="3"/>
      <c r="AY724" s="116"/>
      <c r="AZ724" s="118">
        <f t="shared" si="9"/>
        <v>2114</v>
      </c>
      <c r="BA724" s="3"/>
      <c r="BB724" s="3"/>
      <c r="BC724" s="3"/>
      <c r="BD724" s="3"/>
      <c r="BE724" s="204"/>
      <c r="BF724" s="294">
        <f t="shared" si="10"/>
        <v>1</v>
      </c>
      <c r="BG724" s="297">
        <f t="shared" si="11"/>
        <v>2.2222222222222223E-2</v>
      </c>
      <c r="BH724" s="298">
        <f t="shared" si="12"/>
        <v>6.6666666666666671E-3</v>
      </c>
      <c r="BI724" s="3"/>
      <c r="BJ724" s="3"/>
      <c r="BK724" s="3"/>
      <c r="BL724" s="3"/>
      <c r="BM724" s="3"/>
      <c r="BN724" s="3"/>
      <c r="BS724" s="294">
        <f t="shared" si="13"/>
        <v>1</v>
      </c>
      <c r="BT724" s="297">
        <f t="shared" si="14"/>
        <v>2.2222222222222223E-2</v>
      </c>
      <c r="BU724" s="298">
        <f t="shared" si="15"/>
        <v>6.6645642804583211E-3</v>
      </c>
      <c r="CC724" s="3"/>
      <c r="CE724" s="3"/>
      <c r="CF724" s="3"/>
      <c r="CG724" s="1393">
        <f t="shared" si="37"/>
        <v>0</v>
      </c>
      <c r="CH724" s="1395"/>
      <c r="CI724" s="1377">
        <f t="shared" si="38"/>
        <v>0</v>
      </c>
      <c r="CJ724" s="1379"/>
      <c r="CK724" s="1393">
        <f t="shared" si="16"/>
        <v>1</v>
      </c>
      <c r="CL724" s="1395"/>
      <c r="CM724" s="1377">
        <f t="shared" si="17"/>
        <v>1</v>
      </c>
      <c r="CN724" s="1379"/>
      <c r="CO724" s="3"/>
      <c r="CP724" s="1374">
        <f t="shared" si="18"/>
        <v>0</v>
      </c>
      <c r="CQ724" s="1375"/>
      <c r="CR724" s="1375"/>
      <c r="CS724" s="1375"/>
      <c r="CT724" s="1376"/>
      <c r="CU724" s="1396">
        <f t="shared" si="19"/>
        <v>0</v>
      </c>
      <c r="CV724" s="1396"/>
      <c r="CW724" s="1396"/>
      <c r="CX724" s="1396"/>
      <c r="CY724" s="1396"/>
      <c r="CZ724" s="1396">
        <f t="shared" si="20"/>
        <v>1</v>
      </c>
      <c r="DA724" s="1396"/>
      <c r="DB724" s="1396"/>
      <c r="DC724" s="1396"/>
      <c r="DD724" s="1396"/>
      <c r="DE724" s="1396">
        <f t="shared" si="21"/>
        <v>0</v>
      </c>
      <c r="DF724" s="1396"/>
      <c r="DG724" s="1396"/>
      <c r="DH724" s="1396"/>
      <c r="DI724" s="1396"/>
      <c r="DJ724" s="1396">
        <f t="shared" si="22"/>
        <v>0</v>
      </c>
      <c r="DK724" s="1396"/>
      <c r="DL724" s="1396"/>
      <c r="DM724" s="1396"/>
      <c r="DN724" s="1396"/>
      <c r="DO724" s="1396">
        <f t="shared" si="23"/>
        <v>0</v>
      </c>
      <c r="DP724" s="1396"/>
      <c r="DQ724" s="1396"/>
      <c r="DR724" s="1396"/>
      <c r="DS724" s="1396"/>
      <c r="DT724" s="6"/>
      <c r="DU724" s="1407">
        <f t="shared" si="24"/>
        <v>0</v>
      </c>
      <c r="DV724" s="1407"/>
      <c r="DW724" s="1407"/>
      <c r="DX724" s="1407"/>
      <c r="DY724" s="1407"/>
      <c r="DZ724" s="1407">
        <f t="shared" si="25"/>
        <v>0</v>
      </c>
      <c r="EA724" s="1407"/>
      <c r="EB724" s="1407"/>
      <c r="EC724" s="1407"/>
      <c r="ED724" s="1407"/>
      <c r="EE724" s="1407">
        <f t="shared" si="26"/>
        <v>1</v>
      </c>
      <c r="EF724" s="1407"/>
      <c r="EG724" s="1407"/>
      <c r="EH724" s="1407"/>
      <c r="EI724" s="1407"/>
      <c r="EJ724" s="1407">
        <f t="shared" si="27"/>
        <v>0</v>
      </c>
      <c r="EK724" s="1407"/>
      <c r="EL724" s="1407"/>
      <c r="EM724" s="1407"/>
      <c r="EN724" s="1407"/>
      <c r="EO724" s="1407">
        <f t="shared" si="28"/>
        <v>0</v>
      </c>
      <c r="EP724" s="1407"/>
      <c r="EQ724" s="1407"/>
      <c r="ER724" s="1407"/>
      <c r="ES724" s="1407"/>
      <c r="ET724" s="1407">
        <f t="shared" si="29"/>
        <v>0</v>
      </c>
      <c r="EU724" s="1407"/>
      <c r="EV724" s="1407"/>
      <c r="EW724" s="1407"/>
      <c r="EX724" s="1407"/>
      <c r="EZ724" s="1393" t="str">
        <f t="shared" si="30"/>
        <v/>
      </c>
      <c r="FA724" s="1394"/>
      <c r="FB724" s="1394"/>
      <c r="FC724" s="1394"/>
      <c r="FD724" s="1395"/>
      <c r="FE724" s="1393" t="str">
        <f t="shared" si="31"/>
        <v/>
      </c>
      <c r="FF724" s="1394"/>
      <c r="FG724" s="1394"/>
      <c r="FH724" s="1394"/>
      <c r="FI724" s="1395"/>
      <c r="FJ724" s="1393">
        <f t="shared" si="32"/>
        <v>622</v>
      </c>
      <c r="FK724" s="1394"/>
      <c r="FL724" s="1394"/>
      <c r="FM724" s="1394"/>
      <c r="FN724" s="1395"/>
      <c r="FO724" s="1393" t="str">
        <f t="shared" si="33"/>
        <v/>
      </c>
      <c r="FP724" s="1394"/>
      <c r="FQ724" s="1394"/>
      <c r="FR724" s="1394"/>
      <c r="FS724" s="1395"/>
      <c r="FT724" s="1393" t="str">
        <f t="shared" si="34"/>
        <v/>
      </c>
      <c r="FU724" s="1394"/>
      <c r="FV724" s="1394"/>
      <c r="FW724" s="1394"/>
      <c r="FX724" s="1395"/>
      <c r="FY724" s="1393" t="str">
        <f t="shared" si="35"/>
        <v/>
      </c>
      <c r="FZ724" s="1394"/>
      <c r="GA724" s="1394"/>
      <c r="GB724" s="1394"/>
      <c r="GC724" s="1395"/>
    </row>
    <row r="725" spans="1:185" ht="12.9" customHeight="1">
      <c r="B725" s="1343" t="s">
        <v>163</v>
      </c>
      <c r="C725" s="1344"/>
      <c r="D725" s="1344"/>
      <c r="E725" s="1344"/>
      <c r="F725" s="1345"/>
      <c r="G725" s="1360">
        <v>1</v>
      </c>
      <c r="H725" s="1361"/>
      <c r="I725" s="1361"/>
      <c r="J725" s="1362"/>
      <c r="K725" s="1357">
        <v>988</v>
      </c>
      <c r="L725" s="1358"/>
      <c r="M725" s="1358"/>
      <c r="N725" s="1359"/>
      <c r="O725" s="1500">
        <f>1057-12</f>
        <v>1045</v>
      </c>
      <c r="P725" s="1501"/>
      <c r="Q725" s="1501"/>
      <c r="R725" s="1501"/>
      <c r="S725" s="1502"/>
      <c r="T725" s="1500">
        <v>12</v>
      </c>
      <c r="U725" s="1501"/>
      <c r="V725" s="1501"/>
      <c r="W725" s="1502"/>
      <c r="X725" s="1338">
        <f t="shared" si="8"/>
        <v>1057</v>
      </c>
      <c r="Y725" s="1339"/>
      <c r="Z725" s="1339"/>
      <c r="AA725" s="1339"/>
      <c r="AB725" s="1340"/>
      <c r="AC725" s="1636">
        <v>0.5</v>
      </c>
      <c r="AD725" s="1637"/>
      <c r="AE725" s="1637"/>
      <c r="AF725" s="1637"/>
      <c r="AG725" s="1638"/>
      <c r="AH725" s="1400">
        <f t="shared" si="36"/>
        <v>0.5</v>
      </c>
      <c r="AI725" s="1401"/>
      <c r="AJ725" s="1402"/>
      <c r="AK725" s="1397" t="s">
        <v>1044</v>
      </c>
      <c r="AL725" s="1398"/>
      <c r="AM725" s="1398"/>
      <c r="AN725" s="1398"/>
      <c r="AO725" s="1399"/>
      <c r="AP725" s="3"/>
      <c r="AQ725" s="3"/>
      <c r="AR725" s="3"/>
      <c r="AS725" s="3"/>
      <c r="AY725" s="1085"/>
      <c r="AZ725" s="118">
        <f t="shared" si="9"/>
        <v>2114</v>
      </c>
      <c r="BA725" s="3"/>
      <c r="BB725" s="3"/>
      <c r="BC725" s="3"/>
      <c r="BD725" s="3"/>
      <c r="BE725" s="204"/>
      <c r="BF725" s="294">
        <f t="shared" si="10"/>
        <v>1</v>
      </c>
      <c r="BG725" s="297">
        <f t="shared" si="11"/>
        <v>2.2222222222222223E-2</v>
      </c>
      <c r="BH725" s="298">
        <f t="shared" si="12"/>
        <v>1.1111111111111112E-2</v>
      </c>
      <c r="BI725" s="3"/>
      <c r="BJ725" s="3"/>
      <c r="BK725" s="3"/>
      <c r="BL725" s="3"/>
      <c r="BM725" s="3"/>
      <c r="BN725" s="3"/>
      <c r="BS725" s="294">
        <f t="shared" si="13"/>
        <v>1</v>
      </c>
      <c r="BT725" s="297">
        <f t="shared" si="14"/>
        <v>2.2222222222222223E-2</v>
      </c>
      <c r="BU725" s="298">
        <f t="shared" si="15"/>
        <v>1.1111111111111112E-2</v>
      </c>
      <c r="BV725" s="292"/>
      <c r="BW725" s="3"/>
      <c r="BX725" s="3"/>
      <c r="BY725" s="3"/>
      <c r="BZ725" s="3"/>
      <c r="CA725" s="3"/>
      <c r="CB725" s="3"/>
      <c r="CC725" s="3"/>
      <c r="CE725" s="3"/>
      <c r="CF725" s="3"/>
      <c r="CG725" s="1393">
        <f t="shared" si="37"/>
        <v>1</v>
      </c>
      <c r="CH725" s="1395"/>
      <c r="CI725" s="1377">
        <f t="shared" si="38"/>
        <v>1</v>
      </c>
      <c r="CJ725" s="1379"/>
      <c r="CK725" s="1393">
        <f t="shared" si="16"/>
        <v>0</v>
      </c>
      <c r="CL725" s="1395"/>
      <c r="CM725" s="1377">
        <f t="shared" si="17"/>
        <v>0</v>
      </c>
      <c r="CN725" s="1379"/>
      <c r="CO725" s="3"/>
      <c r="CP725" s="1374">
        <f t="shared" si="18"/>
        <v>0</v>
      </c>
      <c r="CQ725" s="1375"/>
      <c r="CR725" s="1375"/>
      <c r="CS725" s="1375"/>
      <c r="CT725" s="1376"/>
      <c r="CU725" s="1396">
        <f t="shared" si="19"/>
        <v>0</v>
      </c>
      <c r="CV725" s="1396"/>
      <c r="CW725" s="1396"/>
      <c r="CX725" s="1396"/>
      <c r="CY725" s="1396"/>
      <c r="CZ725" s="1396">
        <f t="shared" si="20"/>
        <v>1</v>
      </c>
      <c r="DA725" s="1396"/>
      <c r="DB725" s="1396"/>
      <c r="DC725" s="1396"/>
      <c r="DD725" s="1396"/>
      <c r="DE725" s="1396">
        <f t="shared" si="21"/>
        <v>0</v>
      </c>
      <c r="DF725" s="1396"/>
      <c r="DG725" s="1396"/>
      <c r="DH725" s="1396"/>
      <c r="DI725" s="1396"/>
      <c r="DJ725" s="1396">
        <f t="shared" si="22"/>
        <v>0</v>
      </c>
      <c r="DK725" s="1396"/>
      <c r="DL725" s="1396"/>
      <c r="DM725" s="1396"/>
      <c r="DN725" s="1396"/>
      <c r="DO725" s="1396">
        <f t="shared" si="23"/>
        <v>0</v>
      </c>
      <c r="DP725" s="1396"/>
      <c r="DQ725" s="1396"/>
      <c r="DR725" s="1396"/>
      <c r="DS725" s="1396"/>
      <c r="DT725" s="6"/>
      <c r="DU725" s="1407">
        <f t="shared" si="24"/>
        <v>0</v>
      </c>
      <c r="DV725" s="1407"/>
      <c r="DW725" s="1407"/>
      <c r="DX725" s="1407"/>
      <c r="DY725" s="1407"/>
      <c r="DZ725" s="1407">
        <f t="shared" si="25"/>
        <v>0</v>
      </c>
      <c r="EA725" s="1407"/>
      <c r="EB725" s="1407"/>
      <c r="EC725" s="1407"/>
      <c r="ED725" s="1407"/>
      <c r="EE725" s="1407">
        <f t="shared" si="26"/>
        <v>0</v>
      </c>
      <c r="EF725" s="1407"/>
      <c r="EG725" s="1407"/>
      <c r="EH725" s="1407"/>
      <c r="EI725" s="1407"/>
      <c r="EJ725" s="1407">
        <f t="shared" si="27"/>
        <v>0</v>
      </c>
      <c r="EK725" s="1407"/>
      <c r="EL725" s="1407"/>
      <c r="EM725" s="1407"/>
      <c r="EN725" s="1407"/>
      <c r="EO725" s="1407">
        <f t="shared" si="28"/>
        <v>0</v>
      </c>
      <c r="EP725" s="1407"/>
      <c r="EQ725" s="1407"/>
      <c r="ER725" s="1407"/>
      <c r="ES725" s="1407"/>
      <c r="ET725" s="1407">
        <f t="shared" si="29"/>
        <v>0</v>
      </c>
      <c r="EU725" s="1407"/>
      <c r="EV725" s="1407"/>
      <c r="EW725" s="1407"/>
      <c r="EX725" s="1407"/>
      <c r="EZ725" s="1393" t="str">
        <f t="shared" si="30"/>
        <v/>
      </c>
      <c r="FA725" s="1394"/>
      <c r="FB725" s="1394"/>
      <c r="FC725" s="1394"/>
      <c r="FD725" s="1395"/>
      <c r="FE725" s="1393" t="str">
        <f t="shared" si="31"/>
        <v/>
      </c>
      <c r="FF725" s="1394"/>
      <c r="FG725" s="1394"/>
      <c r="FH725" s="1394"/>
      <c r="FI725" s="1395"/>
      <c r="FJ725" s="1393">
        <f t="shared" si="32"/>
        <v>1045</v>
      </c>
      <c r="FK725" s="1394"/>
      <c r="FL725" s="1394"/>
      <c r="FM725" s="1394"/>
      <c r="FN725" s="1395"/>
      <c r="FO725" s="1393" t="str">
        <f t="shared" si="33"/>
        <v/>
      </c>
      <c r="FP725" s="1394"/>
      <c r="FQ725" s="1394"/>
      <c r="FR725" s="1394"/>
      <c r="FS725" s="1395"/>
      <c r="FT725" s="1393" t="str">
        <f t="shared" si="34"/>
        <v/>
      </c>
      <c r="FU725" s="1394"/>
      <c r="FV725" s="1394"/>
      <c r="FW725" s="1394"/>
      <c r="FX725" s="1395"/>
      <c r="FY725" s="1393" t="str">
        <f t="shared" si="35"/>
        <v/>
      </c>
      <c r="FZ725" s="1394"/>
      <c r="GA725" s="1394"/>
      <c r="GB725" s="1394"/>
      <c r="GC725" s="1395"/>
    </row>
    <row r="726" spans="1:185" ht="12.9" customHeight="1">
      <c r="B726" s="1343" t="s">
        <v>163</v>
      </c>
      <c r="C726" s="1344"/>
      <c r="D726" s="1344"/>
      <c r="E726" s="1344"/>
      <c r="F726" s="1345"/>
      <c r="G726" s="1360">
        <v>2</v>
      </c>
      <c r="H726" s="1361"/>
      <c r="I726" s="1361"/>
      <c r="J726" s="1362"/>
      <c r="K726" s="1357">
        <v>988</v>
      </c>
      <c r="L726" s="1358"/>
      <c r="M726" s="1358"/>
      <c r="N726" s="1359"/>
      <c r="O726" s="1500">
        <f>1057-12</f>
        <v>1045</v>
      </c>
      <c r="P726" s="1501"/>
      <c r="Q726" s="1501"/>
      <c r="R726" s="1501"/>
      <c r="S726" s="1502"/>
      <c r="T726" s="1500">
        <v>12</v>
      </c>
      <c r="U726" s="1501"/>
      <c r="V726" s="1501"/>
      <c r="W726" s="1502"/>
      <c r="X726" s="1338">
        <f t="shared" si="8"/>
        <v>1057</v>
      </c>
      <c r="Y726" s="1339"/>
      <c r="Z726" s="1339"/>
      <c r="AA726" s="1339"/>
      <c r="AB726" s="1340"/>
      <c r="AC726" s="1636">
        <v>0.5</v>
      </c>
      <c r="AD726" s="1637"/>
      <c r="AE726" s="1637"/>
      <c r="AF726" s="1637"/>
      <c r="AG726" s="1638"/>
      <c r="AH726" s="1400">
        <f t="shared" si="36"/>
        <v>0.5</v>
      </c>
      <c r="AI726" s="1401"/>
      <c r="AJ726" s="1402"/>
      <c r="AK726" s="1397" t="s">
        <v>592</v>
      </c>
      <c r="AL726" s="1398"/>
      <c r="AM726" s="1398"/>
      <c r="AN726" s="1398"/>
      <c r="AO726" s="1399"/>
      <c r="AP726" s="3"/>
      <c r="AQ726" s="3"/>
      <c r="AR726" s="3"/>
      <c r="AS726" s="3"/>
      <c r="AY726" s="1085"/>
      <c r="AZ726" s="118">
        <f t="shared" si="9"/>
        <v>2114</v>
      </c>
      <c r="BA726" s="3"/>
      <c r="BB726" s="3"/>
      <c r="BC726" s="3"/>
      <c r="BD726" s="3"/>
      <c r="BE726" s="204"/>
      <c r="BF726" s="294">
        <f t="shared" si="10"/>
        <v>2</v>
      </c>
      <c r="BG726" s="297">
        <f t="shared" si="11"/>
        <v>4.4444444444444446E-2</v>
      </c>
      <c r="BH726" s="298">
        <f t="shared" si="12"/>
        <v>2.2222222222222223E-2</v>
      </c>
      <c r="BI726" s="3"/>
      <c r="BJ726" s="3"/>
      <c r="BK726" s="3"/>
      <c r="BL726" s="3"/>
      <c r="BM726" s="3"/>
      <c r="BN726" s="3"/>
      <c r="BS726" s="294">
        <f t="shared" si="13"/>
        <v>2</v>
      </c>
      <c r="BT726" s="297">
        <f t="shared" si="14"/>
        <v>4.4444444444444446E-2</v>
      </c>
      <c r="BU726" s="298">
        <f t="shared" si="15"/>
        <v>2.2222222222222223E-2</v>
      </c>
      <c r="BV726" s="3"/>
      <c r="BW726" s="3"/>
      <c r="BX726" s="3"/>
      <c r="BY726" s="3"/>
      <c r="BZ726" s="3"/>
      <c r="CA726" s="3"/>
      <c r="CB726" s="3"/>
      <c r="CC726" s="3"/>
      <c r="CE726" s="3"/>
      <c r="CF726" s="3"/>
      <c r="CG726" s="1393">
        <f t="shared" si="37"/>
        <v>1</v>
      </c>
      <c r="CH726" s="1395"/>
      <c r="CI726" s="1377">
        <f t="shared" si="38"/>
        <v>2</v>
      </c>
      <c r="CJ726" s="1379"/>
      <c r="CK726" s="1393">
        <f t="shared" si="16"/>
        <v>0</v>
      </c>
      <c r="CL726" s="1395"/>
      <c r="CM726" s="1377">
        <f t="shared" si="17"/>
        <v>0</v>
      </c>
      <c r="CN726" s="1379"/>
      <c r="CO726" s="3"/>
      <c r="CP726" s="1374">
        <f t="shared" si="18"/>
        <v>0</v>
      </c>
      <c r="CQ726" s="1375"/>
      <c r="CR726" s="1375"/>
      <c r="CS726" s="1375"/>
      <c r="CT726" s="1376"/>
      <c r="CU726" s="1396">
        <f t="shared" si="19"/>
        <v>0</v>
      </c>
      <c r="CV726" s="1396"/>
      <c r="CW726" s="1396"/>
      <c r="CX726" s="1396"/>
      <c r="CY726" s="1396"/>
      <c r="CZ726" s="1396">
        <f t="shared" si="20"/>
        <v>2</v>
      </c>
      <c r="DA726" s="1396"/>
      <c r="DB726" s="1396"/>
      <c r="DC726" s="1396"/>
      <c r="DD726" s="1396"/>
      <c r="DE726" s="1396">
        <f t="shared" si="21"/>
        <v>0</v>
      </c>
      <c r="DF726" s="1396"/>
      <c r="DG726" s="1396"/>
      <c r="DH726" s="1396"/>
      <c r="DI726" s="1396"/>
      <c r="DJ726" s="1396">
        <f t="shared" si="22"/>
        <v>0</v>
      </c>
      <c r="DK726" s="1396"/>
      <c r="DL726" s="1396"/>
      <c r="DM726" s="1396"/>
      <c r="DN726" s="1396"/>
      <c r="DO726" s="1396">
        <f t="shared" si="23"/>
        <v>0</v>
      </c>
      <c r="DP726" s="1396"/>
      <c r="DQ726" s="1396"/>
      <c r="DR726" s="1396"/>
      <c r="DS726" s="1396"/>
      <c r="DT726" s="6"/>
      <c r="DU726" s="1407">
        <f t="shared" si="24"/>
        <v>0</v>
      </c>
      <c r="DV726" s="1407"/>
      <c r="DW726" s="1407"/>
      <c r="DX726" s="1407"/>
      <c r="DY726" s="1407"/>
      <c r="DZ726" s="1407">
        <f t="shared" si="25"/>
        <v>0</v>
      </c>
      <c r="EA726" s="1407"/>
      <c r="EB726" s="1407"/>
      <c r="EC726" s="1407"/>
      <c r="ED726" s="1407"/>
      <c r="EE726" s="1407">
        <f t="shared" si="26"/>
        <v>0</v>
      </c>
      <c r="EF726" s="1407"/>
      <c r="EG726" s="1407"/>
      <c r="EH726" s="1407"/>
      <c r="EI726" s="1407"/>
      <c r="EJ726" s="1407">
        <f t="shared" si="27"/>
        <v>0</v>
      </c>
      <c r="EK726" s="1407"/>
      <c r="EL726" s="1407"/>
      <c r="EM726" s="1407"/>
      <c r="EN726" s="1407"/>
      <c r="EO726" s="1407">
        <f t="shared" si="28"/>
        <v>0</v>
      </c>
      <c r="EP726" s="1407"/>
      <c r="EQ726" s="1407"/>
      <c r="ER726" s="1407"/>
      <c r="ES726" s="1407"/>
      <c r="ET726" s="1407">
        <f t="shared" si="29"/>
        <v>0</v>
      </c>
      <c r="EU726" s="1407"/>
      <c r="EV726" s="1407"/>
      <c r="EW726" s="1407"/>
      <c r="EX726" s="1407"/>
      <c r="EY726" s="4"/>
      <c r="EZ726" s="1393" t="str">
        <f t="shared" si="30"/>
        <v/>
      </c>
      <c r="FA726" s="1394"/>
      <c r="FB726" s="1394"/>
      <c r="FC726" s="1394"/>
      <c r="FD726" s="1395"/>
      <c r="FE726" s="1393" t="str">
        <f t="shared" si="31"/>
        <v/>
      </c>
      <c r="FF726" s="1394"/>
      <c r="FG726" s="1394"/>
      <c r="FH726" s="1394"/>
      <c r="FI726" s="1395"/>
      <c r="FJ726" s="1393">
        <f t="shared" si="32"/>
        <v>1045</v>
      </c>
      <c r="FK726" s="1394"/>
      <c r="FL726" s="1394"/>
      <c r="FM726" s="1394"/>
      <c r="FN726" s="1395"/>
      <c r="FO726" s="1393" t="str">
        <f t="shared" si="33"/>
        <v/>
      </c>
      <c r="FP726" s="1394"/>
      <c r="FQ726" s="1394"/>
      <c r="FR726" s="1394"/>
      <c r="FS726" s="1395"/>
      <c r="FT726" s="1393" t="str">
        <f t="shared" si="34"/>
        <v/>
      </c>
      <c r="FU726" s="1394"/>
      <c r="FV726" s="1394"/>
      <c r="FW726" s="1394"/>
      <c r="FX726" s="1395"/>
      <c r="FY726" s="1393" t="str">
        <f t="shared" si="35"/>
        <v/>
      </c>
      <c r="FZ726" s="1394"/>
      <c r="GA726" s="1394"/>
      <c r="GB726" s="1394"/>
      <c r="GC726" s="1395"/>
    </row>
    <row r="727" spans="1:185" ht="12.9" customHeight="1">
      <c r="A727" s="4"/>
      <c r="B727" s="1343" t="s">
        <v>163</v>
      </c>
      <c r="C727" s="1344"/>
      <c r="D727" s="1344"/>
      <c r="E727" s="1344"/>
      <c r="F727" s="1345"/>
      <c r="G727" s="1360">
        <v>8</v>
      </c>
      <c r="H727" s="1361"/>
      <c r="I727" s="1361"/>
      <c r="J727" s="1362"/>
      <c r="K727" s="1357">
        <v>988</v>
      </c>
      <c r="L727" s="1358"/>
      <c r="M727" s="1358"/>
      <c r="N727" s="1359"/>
      <c r="O727" s="1500">
        <f>1060-12</f>
        <v>1048</v>
      </c>
      <c r="P727" s="1501"/>
      <c r="Q727" s="1501"/>
      <c r="R727" s="1501"/>
      <c r="S727" s="1502"/>
      <c r="T727" s="1500">
        <v>12</v>
      </c>
      <c r="U727" s="1501"/>
      <c r="V727" s="1501"/>
      <c r="W727" s="1502"/>
      <c r="X727" s="1338">
        <f t="shared" si="8"/>
        <v>1060</v>
      </c>
      <c r="Y727" s="1339"/>
      <c r="Z727" s="1339"/>
      <c r="AA727" s="1339"/>
      <c r="AB727" s="1340"/>
      <c r="AC727" s="1636">
        <v>0.7</v>
      </c>
      <c r="AD727" s="1637"/>
      <c r="AE727" s="1637"/>
      <c r="AF727" s="1637"/>
      <c r="AG727" s="1638"/>
      <c r="AH727" s="1400">
        <f t="shared" si="36"/>
        <v>0.50141911069063383</v>
      </c>
      <c r="AI727" s="1401"/>
      <c r="AJ727" s="1402"/>
      <c r="AK727" s="1397" t="s">
        <v>592</v>
      </c>
      <c r="AL727" s="1398"/>
      <c r="AM727" s="1398"/>
      <c r="AN727" s="1398"/>
      <c r="AO727" s="1399"/>
      <c r="AP727" s="3"/>
      <c r="AQ727" s="3"/>
      <c r="AR727" s="3"/>
      <c r="AS727" s="3"/>
      <c r="AY727" s="1085"/>
      <c r="AZ727" s="118">
        <f t="shared" si="9"/>
        <v>2114</v>
      </c>
      <c r="BA727" s="3"/>
      <c r="BB727" s="3"/>
      <c r="BC727" s="3"/>
      <c r="BD727" s="3"/>
      <c r="BE727" s="204"/>
      <c r="BF727" s="294">
        <f t="shared" si="10"/>
        <v>8</v>
      </c>
      <c r="BG727" s="297">
        <f t="shared" si="11"/>
        <v>0.17777777777777778</v>
      </c>
      <c r="BH727" s="298">
        <f t="shared" si="12"/>
        <v>0.12444444444444444</v>
      </c>
      <c r="BI727" s="3"/>
      <c r="BJ727" s="3"/>
      <c r="BK727" s="3"/>
      <c r="BL727" s="3"/>
      <c r="BM727" s="3"/>
      <c r="BN727" s="3"/>
      <c r="BS727" s="294">
        <f t="shared" si="13"/>
        <v>8</v>
      </c>
      <c r="BT727" s="297">
        <f t="shared" si="14"/>
        <v>0.17777777777777778</v>
      </c>
      <c r="BU727" s="298">
        <f t="shared" si="15"/>
        <v>8.9141175233890466E-2</v>
      </c>
      <c r="BV727" s="3"/>
      <c r="BW727" s="3"/>
      <c r="BX727" s="3"/>
      <c r="BY727" s="3"/>
      <c r="BZ727" s="3"/>
      <c r="CA727" s="3"/>
      <c r="CB727" s="3"/>
      <c r="CC727" s="3"/>
      <c r="CE727" s="3"/>
      <c r="CF727" s="3"/>
      <c r="CG727" s="1393">
        <f t="shared" si="37"/>
        <v>0</v>
      </c>
      <c r="CH727" s="1395"/>
      <c r="CI727" s="1377">
        <f t="shared" si="38"/>
        <v>0</v>
      </c>
      <c r="CJ727" s="1379"/>
      <c r="CK727" s="1393">
        <f t="shared" si="16"/>
        <v>0</v>
      </c>
      <c r="CL727" s="1395"/>
      <c r="CM727" s="1377">
        <f t="shared" si="17"/>
        <v>0</v>
      </c>
      <c r="CN727" s="1379"/>
      <c r="CO727" s="3"/>
      <c r="CP727" s="1374">
        <f t="shared" si="18"/>
        <v>0</v>
      </c>
      <c r="CQ727" s="1375"/>
      <c r="CR727" s="1375"/>
      <c r="CS727" s="1375"/>
      <c r="CT727" s="1376"/>
      <c r="CU727" s="1396">
        <f t="shared" si="19"/>
        <v>0</v>
      </c>
      <c r="CV727" s="1396"/>
      <c r="CW727" s="1396"/>
      <c r="CX727" s="1396"/>
      <c r="CY727" s="1396"/>
      <c r="CZ727" s="1396">
        <f t="shared" si="20"/>
        <v>8</v>
      </c>
      <c r="DA727" s="1396"/>
      <c r="DB727" s="1396"/>
      <c r="DC727" s="1396"/>
      <c r="DD727" s="1396"/>
      <c r="DE727" s="1396">
        <f t="shared" si="21"/>
        <v>0</v>
      </c>
      <c r="DF727" s="1396"/>
      <c r="DG727" s="1396"/>
      <c r="DH727" s="1396"/>
      <c r="DI727" s="1396"/>
      <c r="DJ727" s="1396">
        <f t="shared" si="22"/>
        <v>0</v>
      </c>
      <c r="DK727" s="1396"/>
      <c r="DL727" s="1396"/>
      <c r="DM727" s="1396"/>
      <c r="DN727" s="1396"/>
      <c r="DO727" s="1396">
        <f t="shared" si="23"/>
        <v>0</v>
      </c>
      <c r="DP727" s="1396"/>
      <c r="DQ727" s="1396"/>
      <c r="DR727" s="1396"/>
      <c r="DS727" s="1396"/>
      <c r="DT727" s="6"/>
      <c r="DU727" s="1407">
        <f t="shared" si="24"/>
        <v>0</v>
      </c>
      <c r="DV727" s="1407"/>
      <c r="DW727" s="1407"/>
      <c r="DX727" s="1407"/>
      <c r="DY727" s="1407"/>
      <c r="DZ727" s="1407">
        <f t="shared" si="25"/>
        <v>0</v>
      </c>
      <c r="EA727" s="1407"/>
      <c r="EB727" s="1407"/>
      <c r="EC727" s="1407"/>
      <c r="ED727" s="1407"/>
      <c r="EE727" s="1407">
        <f t="shared" si="26"/>
        <v>0</v>
      </c>
      <c r="EF727" s="1407"/>
      <c r="EG727" s="1407"/>
      <c r="EH727" s="1407"/>
      <c r="EI727" s="1407"/>
      <c r="EJ727" s="1407">
        <f t="shared" si="27"/>
        <v>0</v>
      </c>
      <c r="EK727" s="1407"/>
      <c r="EL727" s="1407"/>
      <c r="EM727" s="1407"/>
      <c r="EN727" s="1407"/>
      <c r="EO727" s="1407">
        <f t="shared" si="28"/>
        <v>0</v>
      </c>
      <c r="EP727" s="1407"/>
      <c r="EQ727" s="1407"/>
      <c r="ER727" s="1407"/>
      <c r="ES727" s="1407"/>
      <c r="ET727" s="1407">
        <f t="shared" si="29"/>
        <v>0</v>
      </c>
      <c r="EU727" s="1407"/>
      <c r="EV727" s="1407"/>
      <c r="EW727" s="1407"/>
      <c r="EX727" s="1407"/>
      <c r="EY727" s="4"/>
      <c r="EZ727" s="1393" t="str">
        <f t="shared" si="30"/>
        <v/>
      </c>
      <c r="FA727" s="1394"/>
      <c r="FB727" s="1394"/>
      <c r="FC727" s="1394"/>
      <c r="FD727" s="1395"/>
      <c r="FE727" s="1393" t="str">
        <f t="shared" si="31"/>
        <v/>
      </c>
      <c r="FF727" s="1394"/>
      <c r="FG727" s="1394"/>
      <c r="FH727" s="1394"/>
      <c r="FI727" s="1395"/>
      <c r="FJ727" s="1393">
        <f t="shared" si="32"/>
        <v>1048</v>
      </c>
      <c r="FK727" s="1394"/>
      <c r="FL727" s="1394"/>
      <c r="FM727" s="1394"/>
      <c r="FN727" s="1395"/>
      <c r="FO727" s="1393" t="str">
        <f t="shared" si="33"/>
        <v/>
      </c>
      <c r="FP727" s="1394"/>
      <c r="FQ727" s="1394"/>
      <c r="FR727" s="1394"/>
      <c r="FS727" s="1395"/>
      <c r="FT727" s="1393" t="str">
        <f t="shared" si="34"/>
        <v/>
      </c>
      <c r="FU727" s="1394"/>
      <c r="FV727" s="1394"/>
      <c r="FW727" s="1394"/>
      <c r="FX727" s="1395"/>
      <c r="FY727" s="1393" t="str">
        <f t="shared" si="35"/>
        <v/>
      </c>
      <c r="FZ727" s="1394"/>
      <c r="GA727" s="1394"/>
      <c r="GB727" s="1394"/>
      <c r="GC727" s="1395"/>
    </row>
    <row r="728" spans="1:185" ht="12.9" customHeight="1">
      <c r="A728" s="4"/>
      <c r="B728" s="1343" t="s">
        <v>164</v>
      </c>
      <c r="C728" s="1344"/>
      <c r="D728" s="1344"/>
      <c r="E728" s="1344"/>
      <c r="F728" s="1345"/>
      <c r="G728" s="1360">
        <v>1</v>
      </c>
      <c r="H728" s="1361"/>
      <c r="I728" s="1361"/>
      <c r="J728" s="1362"/>
      <c r="K728" s="1357">
        <v>1217</v>
      </c>
      <c r="L728" s="1358"/>
      <c r="M728" s="1358"/>
      <c r="N728" s="1359"/>
      <c r="O728" s="1500">
        <f>732-12</f>
        <v>720</v>
      </c>
      <c r="P728" s="1501"/>
      <c r="Q728" s="1501"/>
      <c r="R728" s="1501"/>
      <c r="S728" s="1502"/>
      <c r="T728" s="1500">
        <v>12</v>
      </c>
      <c r="U728" s="1501"/>
      <c r="V728" s="1501"/>
      <c r="W728" s="1502"/>
      <c r="X728" s="1338">
        <f t="shared" si="8"/>
        <v>732</v>
      </c>
      <c r="Y728" s="1339"/>
      <c r="Z728" s="1339"/>
      <c r="AA728" s="1339"/>
      <c r="AB728" s="1340"/>
      <c r="AC728" s="1636">
        <v>0.3</v>
      </c>
      <c r="AD728" s="1637"/>
      <c r="AE728" s="1637"/>
      <c r="AF728" s="1637"/>
      <c r="AG728" s="1638"/>
      <c r="AH728" s="1400">
        <f t="shared" si="36"/>
        <v>0.29975429975429974</v>
      </c>
      <c r="AI728" s="1401"/>
      <c r="AJ728" s="1402"/>
      <c r="AK728" s="1397" t="s">
        <v>592</v>
      </c>
      <c r="AL728" s="1398"/>
      <c r="AM728" s="1398"/>
      <c r="AN728" s="1398"/>
      <c r="AO728" s="1399"/>
      <c r="AP728" s="3"/>
      <c r="AQ728" s="3"/>
      <c r="AR728" s="3"/>
      <c r="AS728" s="3"/>
      <c r="AY728" s="1085"/>
      <c r="AZ728" s="118">
        <f t="shared" si="9"/>
        <v>2442</v>
      </c>
      <c r="BA728" s="3"/>
      <c r="BB728" s="3"/>
      <c r="BC728" s="3"/>
      <c r="BD728" s="3"/>
      <c r="BE728" s="204"/>
      <c r="BF728" s="294">
        <f t="shared" si="10"/>
        <v>1</v>
      </c>
      <c r="BG728" s="297">
        <f t="shared" si="11"/>
        <v>2.2222222222222223E-2</v>
      </c>
      <c r="BH728" s="298">
        <f t="shared" si="12"/>
        <v>6.6666666666666671E-3</v>
      </c>
      <c r="BI728" s="3"/>
      <c r="BJ728" s="3"/>
      <c r="BK728" s="3"/>
      <c r="BL728" s="3"/>
      <c r="BM728" s="3"/>
      <c r="BN728" s="3"/>
      <c r="BS728" s="294">
        <f t="shared" si="13"/>
        <v>1</v>
      </c>
      <c r="BT728" s="297">
        <f t="shared" si="14"/>
        <v>2.2222222222222223E-2</v>
      </c>
      <c r="BU728" s="298">
        <f t="shared" si="15"/>
        <v>6.6612066612066608E-3</v>
      </c>
      <c r="BV728" s="3"/>
      <c r="BW728" s="3"/>
      <c r="BX728" s="3"/>
      <c r="BY728" s="3"/>
      <c r="BZ728" s="3"/>
      <c r="CA728" s="3"/>
      <c r="CB728" s="3"/>
      <c r="CC728" s="3"/>
      <c r="CE728" s="3"/>
      <c r="CF728" s="3"/>
      <c r="CG728" s="1393">
        <f t="shared" si="37"/>
        <v>0</v>
      </c>
      <c r="CH728" s="1395"/>
      <c r="CI728" s="1377">
        <f t="shared" si="38"/>
        <v>0</v>
      </c>
      <c r="CJ728" s="1379"/>
      <c r="CK728" s="1393">
        <f t="shared" si="16"/>
        <v>1</v>
      </c>
      <c r="CL728" s="1395"/>
      <c r="CM728" s="1377">
        <f t="shared" si="17"/>
        <v>1</v>
      </c>
      <c r="CN728" s="1379"/>
      <c r="CO728" s="3"/>
      <c r="CP728" s="1374">
        <f t="shared" si="18"/>
        <v>0</v>
      </c>
      <c r="CQ728" s="1375"/>
      <c r="CR728" s="1375"/>
      <c r="CS728" s="1375"/>
      <c r="CT728" s="1376"/>
      <c r="CU728" s="1396">
        <f t="shared" si="19"/>
        <v>0</v>
      </c>
      <c r="CV728" s="1396"/>
      <c r="CW728" s="1396"/>
      <c r="CX728" s="1396"/>
      <c r="CY728" s="1396"/>
      <c r="CZ728" s="1396">
        <f t="shared" si="20"/>
        <v>0</v>
      </c>
      <c r="DA728" s="1396"/>
      <c r="DB728" s="1396"/>
      <c r="DC728" s="1396"/>
      <c r="DD728" s="1396"/>
      <c r="DE728" s="1396">
        <f t="shared" si="21"/>
        <v>1</v>
      </c>
      <c r="DF728" s="1396"/>
      <c r="DG728" s="1396"/>
      <c r="DH728" s="1396"/>
      <c r="DI728" s="1396"/>
      <c r="DJ728" s="1396">
        <f t="shared" si="22"/>
        <v>0</v>
      </c>
      <c r="DK728" s="1396"/>
      <c r="DL728" s="1396"/>
      <c r="DM728" s="1396"/>
      <c r="DN728" s="1396"/>
      <c r="DO728" s="1396">
        <f t="shared" si="23"/>
        <v>0</v>
      </c>
      <c r="DP728" s="1396"/>
      <c r="DQ728" s="1396"/>
      <c r="DR728" s="1396"/>
      <c r="DS728" s="1396"/>
      <c r="DT728" s="6"/>
      <c r="DU728" s="1407">
        <f t="shared" si="24"/>
        <v>0</v>
      </c>
      <c r="DV728" s="1407"/>
      <c r="DW728" s="1407"/>
      <c r="DX728" s="1407"/>
      <c r="DY728" s="1407"/>
      <c r="DZ728" s="1407">
        <f t="shared" si="25"/>
        <v>0</v>
      </c>
      <c r="EA728" s="1407"/>
      <c r="EB728" s="1407"/>
      <c r="EC728" s="1407"/>
      <c r="ED728" s="1407"/>
      <c r="EE728" s="1407">
        <f t="shared" si="26"/>
        <v>0</v>
      </c>
      <c r="EF728" s="1407"/>
      <c r="EG728" s="1407"/>
      <c r="EH728" s="1407"/>
      <c r="EI728" s="1407"/>
      <c r="EJ728" s="1407">
        <f t="shared" si="27"/>
        <v>1</v>
      </c>
      <c r="EK728" s="1407"/>
      <c r="EL728" s="1407"/>
      <c r="EM728" s="1407"/>
      <c r="EN728" s="1407"/>
      <c r="EO728" s="1407">
        <f t="shared" si="28"/>
        <v>0</v>
      </c>
      <c r="EP728" s="1407"/>
      <c r="EQ728" s="1407"/>
      <c r="ER728" s="1407"/>
      <c r="ES728" s="1407"/>
      <c r="ET728" s="1407">
        <f t="shared" si="29"/>
        <v>0</v>
      </c>
      <c r="EU728" s="1407"/>
      <c r="EV728" s="1407"/>
      <c r="EW728" s="1407"/>
      <c r="EX728" s="1407"/>
      <c r="EY728" s="4"/>
      <c r="EZ728" s="1393" t="str">
        <f t="shared" si="30"/>
        <v/>
      </c>
      <c r="FA728" s="1394"/>
      <c r="FB728" s="1394"/>
      <c r="FC728" s="1394"/>
      <c r="FD728" s="1395"/>
      <c r="FE728" s="1393" t="str">
        <f t="shared" si="31"/>
        <v/>
      </c>
      <c r="FF728" s="1394"/>
      <c r="FG728" s="1394"/>
      <c r="FH728" s="1394"/>
      <c r="FI728" s="1395"/>
      <c r="FJ728" s="1393" t="str">
        <f t="shared" si="32"/>
        <v/>
      </c>
      <c r="FK728" s="1394"/>
      <c r="FL728" s="1394"/>
      <c r="FM728" s="1394"/>
      <c r="FN728" s="1395"/>
      <c r="FO728" s="1393">
        <f t="shared" si="33"/>
        <v>720</v>
      </c>
      <c r="FP728" s="1394"/>
      <c r="FQ728" s="1394"/>
      <c r="FR728" s="1394"/>
      <c r="FS728" s="1395"/>
      <c r="FT728" s="1393" t="str">
        <f t="shared" si="34"/>
        <v/>
      </c>
      <c r="FU728" s="1394"/>
      <c r="FV728" s="1394"/>
      <c r="FW728" s="1394"/>
      <c r="FX728" s="1395"/>
      <c r="FY728" s="1393" t="str">
        <f t="shared" si="35"/>
        <v/>
      </c>
      <c r="FZ728" s="1394"/>
      <c r="GA728" s="1394"/>
      <c r="GB728" s="1394"/>
      <c r="GC728" s="1395"/>
    </row>
    <row r="729" spans="1:185" ht="12.9" customHeight="1">
      <c r="A729" s="4"/>
      <c r="B729" s="1343" t="s">
        <v>164</v>
      </c>
      <c r="C729" s="1344"/>
      <c r="D729" s="1344"/>
      <c r="E729" s="1344"/>
      <c r="F729" s="1345"/>
      <c r="G729" s="1360">
        <v>2</v>
      </c>
      <c r="H729" s="1361"/>
      <c r="I729" s="1361"/>
      <c r="J729" s="1362"/>
      <c r="K729" s="1357">
        <v>1217</v>
      </c>
      <c r="L729" s="1358"/>
      <c r="M729" s="1358"/>
      <c r="N729" s="1359"/>
      <c r="O729" s="1500">
        <f>1187-12</f>
        <v>1175</v>
      </c>
      <c r="P729" s="1501"/>
      <c r="Q729" s="1501"/>
      <c r="R729" s="1501"/>
      <c r="S729" s="1502"/>
      <c r="T729" s="1500">
        <v>12</v>
      </c>
      <c r="U729" s="1501"/>
      <c r="V729" s="1501"/>
      <c r="W729" s="1502"/>
      <c r="X729" s="1338">
        <f t="shared" si="8"/>
        <v>1187</v>
      </c>
      <c r="Y729" s="1339"/>
      <c r="Z729" s="1339"/>
      <c r="AA729" s="1339"/>
      <c r="AB729" s="1340"/>
      <c r="AC729" s="1636">
        <v>0.5</v>
      </c>
      <c r="AD729" s="1637"/>
      <c r="AE729" s="1637"/>
      <c r="AF729" s="1637"/>
      <c r="AG729" s="1638"/>
      <c r="AH729" s="1400">
        <f t="shared" si="36"/>
        <v>0.48607698607698607</v>
      </c>
      <c r="AI729" s="1401"/>
      <c r="AJ729" s="1402"/>
      <c r="AK729" s="1397" t="s">
        <v>592</v>
      </c>
      <c r="AL729" s="1398"/>
      <c r="AM729" s="1398"/>
      <c r="AN729" s="1398"/>
      <c r="AO729" s="1399"/>
      <c r="AP729" s="3"/>
      <c r="AQ729" s="3"/>
      <c r="AR729" s="3"/>
      <c r="AS729" s="3"/>
      <c r="AY729" s="1085"/>
      <c r="AZ729" s="118">
        <f t="shared" si="9"/>
        <v>2442</v>
      </c>
      <c r="BA729" s="3"/>
      <c r="BB729" s="3"/>
      <c r="BC729" s="3"/>
      <c r="BD729" s="3"/>
      <c r="BE729" s="204"/>
      <c r="BF729" s="294">
        <f t="shared" si="10"/>
        <v>2</v>
      </c>
      <c r="BG729" s="297">
        <f t="shared" si="11"/>
        <v>4.4444444444444446E-2</v>
      </c>
      <c r="BH729" s="298">
        <f t="shared" si="12"/>
        <v>2.2222222222222223E-2</v>
      </c>
      <c r="BI729" s="3"/>
      <c r="BJ729" s="3"/>
      <c r="BK729" s="3"/>
      <c r="BL729" s="3"/>
      <c r="BM729" s="3"/>
      <c r="BN729" s="3"/>
      <c r="BS729" s="294">
        <f t="shared" si="13"/>
        <v>2</v>
      </c>
      <c r="BT729" s="297">
        <f t="shared" si="14"/>
        <v>4.4444444444444446E-2</v>
      </c>
      <c r="BU729" s="298">
        <f t="shared" si="15"/>
        <v>2.1603421603421605E-2</v>
      </c>
      <c r="BV729" s="3"/>
      <c r="BW729" s="3"/>
      <c r="BX729" s="3"/>
      <c r="BY729" s="3"/>
      <c r="BZ729" s="3"/>
      <c r="CA729" s="3"/>
      <c r="CB729" s="3"/>
      <c r="CC729" s="3"/>
      <c r="CE729" s="3"/>
      <c r="CF729" s="3"/>
      <c r="CG729" s="1393">
        <f t="shared" si="37"/>
        <v>1</v>
      </c>
      <c r="CH729" s="1395"/>
      <c r="CI729" s="1377">
        <f t="shared" si="38"/>
        <v>2</v>
      </c>
      <c r="CJ729" s="1379"/>
      <c r="CK729" s="1393">
        <f t="shared" si="16"/>
        <v>0</v>
      </c>
      <c r="CL729" s="1395"/>
      <c r="CM729" s="1377">
        <f t="shared" si="17"/>
        <v>0</v>
      </c>
      <c r="CN729" s="1379"/>
      <c r="CO729" s="3"/>
      <c r="CP729" s="1374">
        <f t="shared" si="18"/>
        <v>0</v>
      </c>
      <c r="CQ729" s="1375"/>
      <c r="CR729" s="1375"/>
      <c r="CS729" s="1375"/>
      <c r="CT729" s="1376"/>
      <c r="CU729" s="1396">
        <f t="shared" si="19"/>
        <v>0</v>
      </c>
      <c r="CV729" s="1396"/>
      <c r="CW729" s="1396"/>
      <c r="CX729" s="1396"/>
      <c r="CY729" s="1396"/>
      <c r="CZ729" s="1396">
        <f t="shared" si="20"/>
        <v>0</v>
      </c>
      <c r="DA729" s="1396"/>
      <c r="DB729" s="1396"/>
      <c r="DC729" s="1396"/>
      <c r="DD729" s="1396"/>
      <c r="DE729" s="1396">
        <f t="shared" si="21"/>
        <v>2</v>
      </c>
      <c r="DF729" s="1396"/>
      <c r="DG729" s="1396"/>
      <c r="DH729" s="1396"/>
      <c r="DI729" s="1396"/>
      <c r="DJ729" s="1396">
        <f t="shared" si="22"/>
        <v>0</v>
      </c>
      <c r="DK729" s="1396"/>
      <c r="DL729" s="1396"/>
      <c r="DM729" s="1396"/>
      <c r="DN729" s="1396"/>
      <c r="DO729" s="1396">
        <f t="shared" si="23"/>
        <v>0</v>
      </c>
      <c r="DP729" s="1396"/>
      <c r="DQ729" s="1396"/>
      <c r="DR729" s="1396"/>
      <c r="DS729" s="1396"/>
      <c r="DT729" s="6"/>
      <c r="DU729" s="1407">
        <f t="shared" si="24"/>
        <v>0</v>
      </c>
      <c r="DV729" s="1407"/>
      <c r="DW729" s="1407"/>
      <c r="DX729" s="1407"/>
      <c r="DY729" s="1407"/>
      <c r="DZ729" s="1407">
        <f t="shared" si="25"/>
        <v>0</v>
      </c>
      <c r="EA729" s="1407"/>
      <c r="EB729" s="1407"/>
      <c r="EC729" s="1407"/>
      <c r="ED729" s="1407"/>
      <c r="EE729" s="1407">
        <f t="shared" si="26"/>
        <v>0</v>
      </c>
      <c r="EF729" s="1407"/>
      <c r="EG729" s="1407"/>
      <c r="EH729" s="1407"/>
      <c r="EI729" s="1407"/>
      <c r="EJ729" s="1407">
        <f t="shared" si="27"/>
        <v>0</v>
      </c>
      <c r="EK729" s="1407"/>
      <c r="EL729" s="1407"/>
      <c r="EM729" s="1407"/>
      <c r="EN729" s="1407"/>
      <c r="EO729" s="1407">
        <f t="shared" si="28"/>
        <v>0</v>
      </c>
      <c r="EP729" s="1407"/>
      <c r="EQ729" s="1407"/>
      <c r="ER729" s="1407"/>
      <c r="ES729" s="1407"/>
      <c r="ET729" s="1407">
        <f t="shared" si="29"/>
        <v>0</v>
      </c>
      <c r="EU729" s="1407"/>
      <c r="EV729" s="1407"/>
      <c r="EW729" s="1407"/>
      <c r="EX729" s="1407"/>
      <c r="EZ729" s="1393" t="str">
        <f t="shared" si="30"/>
        <v/>
      </c>
      <c r="FA729" s="1394"/>
      <c r="FB729" s="1394"/>
      <c r="FC729" s="1394"/>
      <c r="FD729" s="1395"/>
      <c r="FE729" s="1393" t="str">
        <f t="shared" si="31"/>
        <v/>
      </c>
      <c r="FF729" s="1394"/>
      <c r="FG729" s="1394"/>
      <c r="FH729" s="1394"/>
      <c r="FI729" s="1395"/>
      <c r="FJ729" s="1393" t="str">
        <f t="shared" si="32"/>
        <v/>
      </c>
      <c r="FK729" s="1394"/>
      <c r="FL729" s="1394"/>
      <c r="FM729" s="1394"/>
      <c r="FN729" s="1395"/>
      <c r="FO729" s="1393">
        <f t="shared" si="33"/>
        <v>1175</v>
      </c>
      <c r="FP729" s="1394"/>
      <c r="FQ729" s="1394"/>
      <c r="FR729" s="1394"/>
      <c r="FS729" s="1395"/>
      <c r="FT729" s="1393" t="str">
        <f t="shared" si="34"/>
        <v/>
      </c>
      <c r="FU729" s="1394"/>
      <c r="FV729" s="1394"/>
      <c r="FW729" s="1394"/>
      <c r="FX729" s="1395"/>
      <c r="FY729" s="1393" t="str">
        <f t="shared" si="35"/>
        <v/>
      </c>
      <c r="FZ729" s="1394"/>
      <c r="GA729" s="1394"/>
      <c r="GB729" s="1394"/>
      <c r="GC729" s="1395"/>
    </row>
    <row r="730" spans="1:185" ht="12.9" customHeight="1">
      <c r="B730" s="1343" t="s">
        <v>164</v>
      </c>
      <c r="C730" s="1344"/>
      <c r="D730" s="1344"/>
      <c r="E730" s="1344"/>
      <c r="F730" s="1345"/>
      <c r="G730" s="1360">
        <v>9</v>
      </c>
      <c r="H730" s="1361"/>
      <c r="I730" s="1361"/>
      <c r="J730" s="1362"/>
      <c r="K730" s="1357">
        <v>1217</v>
      </c>
      <c r="L730" s="1358"/>
      <c r="M730" s="1358"/>
      <c r="N730" s="1359"/>
      <c r="O730" s="1500">
        <f>1187-12</f>
        <v>1175</v>
      </c>
      <c r="P730" s="1501"/>
      <c r="Q730" s="1501"/>
      <c r="R730" s="1501"/>
      <c r="S730" s="1502"/>
      <c r="T730" s="1500">
        <v>12</v>
      </c>
      <c r="U730" s="1501"/>
      <c r="V730" s="1501"/>
      <c r="W730" s="1502"/>
      <c r="X730" s="1338">
        <f t="shared" si="8"/>
        <v>1187</v>
      </c>
      <c r="Y730" s="1339"/>
      <c r="Z730" s="1339"/>
      <c r="AA730" s="1339"/>
      <c r="AB730" s="1340"/>
      <c r="AC730" s="1636">
        <v>0.7</v>
      </c>
      <c r="AD730" s="1637"/>
      <c r="AE730" s="1637"/>
      <c r="AF730" s="1637"/>
      <c r="AG730" s="1638"/>
      <c r="AH730" s="1400">
        <f t="shared" si="36"/>
        <v>0.48607698607698607</v>
      </c>
      <c r="AI730" s="1401"/>
      <c r="AJ730" s="1402"/>
      <c r="AK730" s="1397" t="s">
        <v>592</v>
      </c>
      <c r="AL730" s="1398"/>
      <c r="AM730" s="1398"/>
      <c r="AN730" s="1398"/>
      <c r="AO730" s="1399"/>
      <c r="AP730" s="3"/>
      <c r="AQ730" s="3"/>
      <c r="AR730" s="3"/>
      <c r="AS730" s="3"/>
      <c r="AY730" s="1085"/>
      <c r="AZ730" s="118">
        <f t="shared" si="9"/>
        <v>2442</v>
      </c>
      <c r="BA730" s="3"/>
      <c r="BB730" s="3"/>
      <c r="BC730" s="3"/>
      <c r="BD730" s="3"/>
      <c r="BE730" s="204"/>
      <c r="BF730" s="294">
        <f t="shared" si="10"/>
        <v>9</v>
      </c>
      <c r="BG730" s="297">
        <f t="shared" si="11"/>
        <v>0.2</v>
      </c>
      <c r="BH730" s="298">
        <f t="shared" si="12"/>
        <v>0.13999999999999999</v>
      </c>
      <c r="BI730" s="3"/>
      <c r="BJ730" s="3"/>
      <c r="BK730" s="3"/>
      <c r="BL730" s="3"/>
      <c r="BM730" s="3"/>
      <c r="BN730" s="3"/>
      <c r="BS730" s="294">
        <f t="shared" si="13"/>
        <v>9</v>
      </c>
      <c r="BT730" s="297">
        <f t="shared" si="14"/>
        <v>0.2</v>
      </c>
      <c r="BU730" s="298">
        <f t="shared" si="15"/>
        <v>9.7215397215397223E-2</v>
      </c>
      <c r="BV730" s="3"/>
      <c r="BW730" s="3"/>
      <c r="BX730" s="3"/>
      <c r="BY730" s="3"/>
      <c r="BZ730" s="3"/>
      <c r="CA730" s="3"/>
      <c r="CB730" s="3"/>
      <c r="CC730" s="3"/>
      <c r="CE730" s="3"/>
      <c r="CF730" s="3"/>
      <c r="CG730" s="1393">
        <f t="shared" si="37"/>
        <v>0</v>
      </c>
      <c r="CH730" s="1395"/>
      <c r="CI730" s="1377">
        <f t="shared" si="38"/>
        <v>0</v>
      </c>
      <c r="CJ730" s="1379"/>
      <c r="CK730" s="1393">
        <f t="shared" si="16"/>
        <v>0</v>
      </c>
      <c r="CL730" s="1395"/>
      <c r="CM730" s="1377">
        <f t="shared" si="17"/>
        <v>0</v>
      </c>
      <c r="CN730" s="1379"/>
      <c r="CO730" s="3"/>
      <c r="CP730" s="1374">
        <f t="shared" si="18"/>
        <v>0</v>
      </c>
      <c r="CQ730" s="1375"/>
      <c r="CR730" s="1375"/>
      <c r="CS730" s="1375"/>
      <c r="CT730" s="1376"/>
      <c r="CU730" s="1396">
        <f t="shared" si="19"/>
        <v>0</v>
      </c>
      <c r="CV730" s="1396"/>
      <c r="CW730" s="1396"/>
      <c r="CX730" s="1396"/>
      <c r="CY730" s="1396"/>
      <c r="CZ730" s="1396">
        <f t="shared" si="20"/>
        <v>0</v>
      </c>
      <c r="DA730" s="1396"/>
      <c r="DB730" s="1396"/>
      <c r="DC730" s="1396"/>
      <c r="DD730" s="1396"/>
      <c r="DE730" s="1396">
        <f t="shared" si="21"/>
        <v>9</v>
      </c>
      <c r="DF730" s="1396"/>
      <c r="DG730" s="1396"/>
      <c r="DH730" s="1396"/>
      <c r="DI730" s="1396"/>
      <c r="DJ730" s="1396">
        <f t="shared" si="22"/>
        <v>0</v>
      </c>
      <c r="DK730" s="1396"/>
      <c r="DL730" s="1396"/>
      <c r="DM730" s="1396"/>
      <c r="DN730" s="1396"/>
      <c r="DO730" s="1396">
        <f t="shared" si="23"/>
        <v>0</v>
      </c>
      <c r="DP730" s="1396"/>
      <c r="DQ730" s="1396"/>
      <c r="DR730" s="1396"/>
      <c r="DS730" s="1396"/>
      <c r="DT730" s="6"/>
      <c r="DU730" s="1407">
        <f t="shared" si="24"/>
        <v>0</v>
      </c>
      <c r="DV730" s="1407"/>
      <c r="DW730" s="1407"/>
      <c r="DX730" s="1407"/>
      <c r="DY730" s="1407"/>
      <c r="DZ730" s="1407">
        <f t="shared" si="25"/>
        <v>0</v>
      </c>
      <c r="EA730" s="1407"/>
      <c r="EB730" s="1407"/>
      <c r="EC730" s="1407"/>
      <c r="ED730" s="1407"/>
      <c r="EE730" s="1407">
        <f t="shared" si="26"/>
        <v>0</v>
      </c>
      <c r="EF730" s="1407"/>
      <c r="EG730" s="1407"/>
      <c r="EH730" s="1407"/>
      <c r="EI730" s="1407"/>
      <c r="EJ730" s="1407">
        <f t="shared" si="27"/>
        <v>0</v>
      </c>
      <c r="EK730" s="1407"/>
      <c r="EL730" s="1407"/>
      <c r="EM730" s="1407"/>
      <c r="EN730" s="1407"/>
      <c r="EO730" s="1407">
        <f t="shared" si="28"/>
        <v>0</v>
      </c>
      <c r="EP730" s="1407"/>
      <c r="EQ730" s="1407"/>
      <c r="ER730" s="1407"/>
      <c r="ES730" s="1407"/>
      <c r="ET730" s="1407">
        <f t="shared" si="29"/>
        <v>0</v>
      </c>
      <c r="EU730" s="1407"/>
      <c r="EV730" s="1407"/>
      <c r="EW730" s="1407"/>
      <c r="EX730" s="1407"/>
      <c r="EZ730" s="1393" t="str">
        <f t="shared" si="30"/>
        <v/>
      </c>
      <c r="FA730" s="1394"/>
      <c r="FB730" s="1394"/>
      <c r="FC730" s="1394"/>
      <c r="FD730" s="1395"/>
      <c r="FE730" s="1393" t="str">
        <f t="shared" si="31"/>
        <v/>
      </c>
      <c r="FF730" s="1394"/>
      <c r="FG730" s="1394"/>
      <c r="FH730" s="1394"/>
      <c r="FI730" s="1395"/>
      <c r="FJ730" s="1393" t="str">
        <f t="shared" si="32"/>
        <v/>
      </c>
      <c r="FK730" s="1394"/>
      <c r="FL730" s="1394"/>
      <c r="FM730" s="1394"/>
      <c r="FN730" s="1395"/>
      <c r="FO730" s="1393">
        <f t="shared" si="33"/>
        <v>1175</v>
      </c>
      <c r="FP730" s="1394"/>
      <c r="FQ730" s="1394"/>
      <c r="FR730" s="1394"/>
      <c r="FS730" s="1395"/>
      <c r="FT730" s="1393" t="str">
        <f t="shared" si="34"/>
        <v/>
      </c>
      <c r="FU730" s="1394"/>
      <c r="FV730" s="1394"/>
      <c r="FW730" s="1394"/>
      <c r="FX730" s="1395"/>
      <c r="FY730" s="1393" t="str">
        <f t="shared" si="35"/>
        <v/>
      </c>
      <c r="FZ730" s="1394"/>
      <c r="GA730" s="1394"/>
      <c r="GB730" s="1394"/>
      <c r="GC730" s="1395"/>
    </row>
    <row r="731" spans="1:185" ht="12.9" customHeight="1">
      <c r="B731" s="1397"/>
      <c r="C731" s="1398"/>
      <c r="D731" s="1398"/>
      <c r="E731" s="1398"/>
      <c r="F731" s="1399"/>
      <c r="G731" s="1403"/>
      <c r="H731" s="1404"/>
      <c r="I731" s="1404"/>
      <c r="J731" s="1405"/>
      <c r="K731" s="1622"/>
      <c r="L731" s="1623"/>
      <c r="M731" s="1623"/>
      <c r="N731" s="1624"/>
      <c r="O731" s="1500"/>
      <c r="P731" s="1501"/>
      <c r="Q731" s="1501"/>
      <c r="R731" s="1501"/>
      <c r="S731" s="1502"/>
      <c r="T731" s="1500"/>
      <c r="U731" s="1501"/>
      <c r="V731" s="1501"/>
      <c r="W731" s="1502"/>
      <c r="X731" s="1338">
        <f t="shared" si="8"/>
        <v>0</v>
      </c>
      <c r="Y731" s="1339"/>
      <c r="Z731" s="1339"/>
      <c r="AA731" s="1339"/>
      <c r="AB731" s="1340"/>
      <c r="AC731" s="1636"/>
      <c r="AD731" s="1637"/>
      <c r="AE731" s="1637"/>
      <c r="AF731" s="1637"/>
      <c r="AG731" s="1638"/>
      <c r="AH731" s="1400" t="str">
        <f t="shared" si="36"/>
        <v/>
      </c>
      <c r="AI731" s="1401"/>
      <c r="AJ731" s="1402"/>
      <c r="AK731" s="1397" t="s">
        <v>592</v>
      </c>
      <c r="AL731" s="1398"/>
      <c r="AM731" s="1398"/>
      <c r="AN731" s="1398"/>
      <c r="AO731" s="139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93">
        <f t="shared" si="37"/>
        <v>0</v>
      </c>
      <c r="CH731" s="1395"/>
      <c r="CI731" s="1377">
        <f t="shared" si="38"/>
        <v>0</v>
      </c>
      <c r="CJ731" s="1379"/>
      <c r="CK731" s="1393">
        <f t="shared" si="16"/>
        <v>0</v>
      </c>
      <c r="CL731" s="1395"/>
      <c r="CM731" s="1377">
        <f t="shared" si="17"/>
        <v>0</v>
      </c>
      <c r="CN731" s="1379"/>
      <c r="CO731" s="3"/>
      <c r="CP731" s="1374">
        <f t="shared" si="18"/>
        <v>0</v>
      </c>
      <c r="CQ731" s="1375"/>
      <c r="CR731" s="1375"/>
      <c r="CS731" s="1375"/>
      <c r="CT731" s="1376"/>
      <c r="CU731" s="1396">
        <f t="shared" si="19"/>
        <v>0</v>
      </c>
      <c r="CV731" s="1396"/>
      <c r="CW731" s="1396"/>
      <c r="CX731" s="1396"/>
      <c r="CY731" s="1396"/>
      <c r="CZ731" s="1396">
        <f t="shared" si="20"/>
        <v>0</v>
      </c>
      <c r="DA731" s="1396"/>
      <c r="DB731" s="1396"/>
      <c r="DC731" s="1396"/>
      <c r="DD731" s="1396"/>
      <c r="DE731" s="1396">
        <f t="shared" si="21"/>
        <v>0</v>
      </c>
      <c r="DF731" s="1396"/>
      <c r="DG731" s="1396"/>
      <c r="DH731" s="1396"/>
      <c r="DI731" s="1396"/>
      <c r="DJ731" s="1396">
        <f t="shared" si="22"/>
        <v>0</v>
      </c>
      <c r="DK731" s="1396"/>
      <c r="DL731" s="1396"/>
      <c r="DM731" s="1396"/>
      <c r="DN731" s="1396"/>
      <c r="DO731" s="1396">
        <f t="shared" si="23"/>
        <v>0</v>
      </c>
      <c r="DP731" s="1396"/>
      <c r="DQ731" s="1396"/>
      <c r="DR731" s="1396"/>
      <c r="DS731" s="1396"/>
      <c r="DT731" s="6"/>
      <c r="DU731" s="1407">
        <f t="shared" si="24"/>
        <v>0</v>
      </c>
      <c r="DV731" s="1407"/>
      <c r="DW731" s="1407"/>
      <c r="DX731" s="1407"/>
      <c r="DY731" s="1407"/>
      <c r="DZ731" s="1407">
        <f t="shared" si="25"/>
        <v>0</v>
      </c>
      <c r="EA731" s="1407"/>
      <c r="EB731" s="1407"/>
      <c r="EC731" s="1407"/>
      <c r="ED731" s="1407"/>
      <c r="EE731" s="1407">
        <f t="shared" si="26"/>
        <v>0</v>
      </c>
      <c r="EF731" s="1407"/>
      <c r="EG731" s="1407"/>
      <c r="EH731" s="1407"/>
      <c r="EI731" s="1407"/>
      <c r="EJ731" s="1407">
        <f t="shared" si="27"/>
        <v>0</v>
      </c>
      <c r="EK731" s="1407"/>
      <c r="EL731" s="1407"/>
      <c r="EM731" s="1407"/>
      <c r="EN731" s="1407"/>
      <c r="EO731" s="1407">
        <f t="shared" si="28"/>
        <v>0</v>
      </c>
      <c r="EP731" s="1407"/>
      <c r="EQ731" s="1407"/>
      <c r="ER731" s="1407"/>
      <c r="ES731" s="1407"/>
      <c r="ET731" s="1407">
        <f t="shared" si="29"/>
        <v>0</v>
      </c>
      <c r="EU731" s="1407"/>
      <c r="EV731" s="1407"/>
      <c r="EW731" s="1407"/>
      <c r="EX731" s="1407"/>
      <c r="EZ731" s="1393" t="str">
        <f t="shared" si="30"/>
        <v/>
      </c>
      <c r="FA731" s="1394"/>
      <c r="FB731" s="1394"/>
      <c r="FC731" s="1394"/>
      <c r="FD731" s="1395"/>
      <c r="FE731" s="1393" t="str">
        <f t="shared" si="31"/>
        <v/>
      </c>
      <c r="FF731" s="1394"/>
      <c r="FG731" s="1394"/>
      <c r="FH731" s="1394"/>
      <c r="FI731" s="1395"/>
      <c r="FJ731" s="1393" t="str">
        <f t="shared" si="32"/>
        <v/>
      </c>
      <c r="FK731" s="1394"/>
      <c r="FL731" s="1394"/>
      <c r="FM731" s="1394"/>
      <c r="FN731" s="1395"/>
      <c r="FO731" s="1393" t="str">
        <f t="shared" si="33"/>
        <v/>
      </c>
      <c r="FP731" s="1394"/>
      <c r="FQ731" s="1394"/>
      <c r="FR731" s="1394"/>
      <c r="FS731" s="1395"/>
      <c r="FT731" s="1393" t="str">
        <f t="shared" si="34"/>
        <v/>
      </c>
      <c r="FU731" s="1394"/>
      <c r="FV731" s="1394"/>
      <c r="FW731" s="1394"/>
      <c r="FX731" s="1395"/>
      <c r="FY731" s="1393" t="str">
        <f t="shared" si="35"/>
        <v/>
      </c>
      <c r="FZ731" s="1394"/>
      <c r="GA731" s="1394"/>
      <c r="GB731" s="1394"/>
      <c r="GC731" s="1395"/>
    </row>
    <row r="732" spans="1:185" ht="12.9" customHeight="1">
      <c r="B732" s="1397"/>
      <c r="C732" s="1398"/>
      <c r="D732" s="1398"/>
      <c r="E732" s="1398"/>
      <c r="F732" s="1399"/>
      <c r="G732" s="1403"/>
      <c r="H732" s="1404"/>
      <c r="I732" s="1404"/>
      <c r="J732" s="1405"/>
      <c r="K732" s="1622"/>
      <c r="L732" s="1623"/>
      <c r="M732" s="1623"/>
      <c r="N732" s="1624"/>
      <c r="O732" s="1500"/>
      <c r="P732" s="1501"/>
      <c r="Q732" s="1501"/>
      <c r="R732" s="1501"/>
      <c r="S732" s="1502"/>
      <c r="T732" s="1500"/>
      <c r="U732" s="1501"/>
      <c r="V732" s="1501"/>
      <c r="W732" s="1502"/>
      <c r="X732" s="1338">
        <f t="shared" si="8"/>
        <v>0</v>
      </c>
      <c r="Y732" s="1339"/>
      <c r="Z732" s="1339"/>
      <c r="AA732" s="1339"/>
      <c r="AB732" s="1340"/>
      <c r="AC732" s="1636"/>
      <c r="AD732" s="1637"/>
      <c r="AE732" s="1637"/>
      <c r="AF732" s="1637"/>
      <c r="AG732" s="1638"/>
      <c r="AH732" s="1400" t="str">
        <f t="shared" si="36"/>
        <v/>
      </c>
      <c r="AI732" s="1401"/>
      <c r="AJ732" s="1402"/>
      <c r="AK732" s="1397" t="s">
        <v>592</v>
      </c>
      <c r="AL732" s="1398"/>
      <c r="AM732" s="1398"/>
      <c r="AN732" s="1398"/>
      <c r="AO732" s="139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93">
        <f t="shared" si="37"/>
        <v>0</v>
      </c>
      <c r="CH732" s="1395"/>
      <c r="CI732" s="1377">
        <f t="shared" si="38"/>
        <v>0</v>
      </c>
      <c r="CJ732" s="1379"/>
      <c r="CK732" s="1393">
        <f t="shared" si="16"/>
        <v>0</v>
      </c>
      <c r="CL732" s="1395"/>
      <c r="CM732" s="1377">
        <f t="shared" si="17"/>
        <v>0</v>
      </c>
      <c r="CN732" s="1379"/>
      <c r="CO732" s="3"/>
      <c r="CP732" s="1374">
        <f t="shared" si="18"/>
        <v>0</v>
      </c>
      <c r="CQ732" s="1375"/>
      <c r="CR732" s="1375"/>
      <c r="CS732" s="1375"/>
      <c r="CT732" s="1376"/>
      <c r="CU732" s="1396">
        <f t="shared" si="19"/>
        <v>0</v>
      </c>
      <c r="CV732" s="1396"/>
      <c r="CW732" s="1396"/>
      <c r="CX732" s="1396"/>
      <c r="CY732" s="1396"/>
      <c r="CZ732" s="1396">
        <f t="shared" si="20"/>
        <v>0</v>
      </c>
      <c r="DA732" s="1396"/>
      <c r="DB732" s="1396"/>
      <c r="DC732" s="1396"/>
      <c r="DD732" s="1396"/>
      <c r="DE732" s="1396">
        <f t="shared" si="21"/>
        <v>0</v>
      </c>
      <c r="DF732" s="1396"/>
      <c r="DG732" s="1396"/>
      <c r="DH732" s="1396"/>
      <c r="DI732" s="1396"/>
      <c r="DJ732" s="1396">
        <f t="shared" si="22"/>
        <v>0</v>
      </c>
      <c r="DK732" s="1396"/>
      <c r="DL732" s="1396"/>
      <c r="DM732" s="1396"/>
      <c r="DN732" s="1396"/>
      <c r="DO732" s="1396">
        <f t="shared" si="23"/>
        <v>0</v>
      </c>
      <c r="DP732" s="1396"/>
      <c r="DQ732" s="1396"/>
      <c r="DR732" s="1396"/>
      <c r="DS732" s="1396"/>
      <c r="DT732" s="6"/>
      <c r="DU732" s="1407">
        <f t="shared" si="24"/>
        <v>0</v>
      </c>
      <c r="DV732" s="1407"/>
      <c r="DW732" s="1407"/>
      <c r="DX732" s="1407"/>
      <c r="DY732" s="1407"/>
      <c r="DZ732" s="1407">
        <f t="shared" si="25"/>
        <v>0</v>
      </c>
      <c r="EA732" s="1407"/>
      <c r="EB732" s="1407"/>
      <c r="EC732" s="1407"/>
      <c r="ED732" s="1407"/>
      <c r="EE732" s="1407">
        <f t="shared" si="26"/>
        <v>0</v>
      </c>
      <c r="EF732" s="1407"/>
      <c r="EG732" s="1407"/>
      <c r="EH732" s="1407"/>
      <c r="EI732" s="1407"/>
      <c r="EJ732" s="1407">
        <f t="shared" si="27"/>
        <v>0</v>
      </c>
      <c r="EK732" s="1407"/>
      <c r="EL732" s="1407"/>
      <c r="EM732" s="1407"/>
      <c r="EN732" s="1407"/>
      <c r="EO732" s="1407">
        <f t="shared" si="28"/>
        <v>0</v>
      </c>
      <c r="EP732" s="1407"/>
      <c r="EQ732" s="1407"/>
      <c r="ER732" s="1407"/>
      <c r="ES732" s="1407"/>
      <c r="ET732" s="1407">
        <f t="shared" si="29"/>
        <v>0</v>
      </c>
      <c r="EU732" s="1407"/>
      <c r="EV732" s="1407"/>
      <c r="EW732" s="1407"/>
      <c r="EX732" s="1407"/>
      <c r="EZ732" s="1393" t="str">
        <f t="shared" si="30"/>
        <v/>
      </c>
      <c r="FA732" s="1394"/>
      <c r="FB732" s="1394"/>
      <c r="FC732" s="1394"/>
      <c r="FD732" s="1395"/>
      <c r="FE732" s="1393" t="str">
        <f t="shared" si="31"/>
        <v/>
      </c>
      <c r="FF732" s="1394"/>
      <c r="FG732" s="1394"/>
      <c r="FH732" s="1394"/>
      <c r="FI732" s="1395"/>
      <c r="FJ732" s="1393" t="str">
        <f t="shared" si="32"/>
        <v/>
      </c>
      <c r="FK732" s="1394"/>
      <c r="FL732" s="1394"/>
      <c r="FM732" s="1394"/>
      <c r="FN732" s="1395"/>
      <c r="FO732" s="1393" t="str">
        <f t="shared" si="33"/>
        <v/>
      </c>
      <c r="FP732" s="1394"/>
      <c r="FQ732" s="1394"/>
      <c r="FR732" s="1394"/>
      <c r="FS732" s="1395"/>
      <c r="FT732" s="1393" t="str">
        <f t="shared" si="34"/>
        <v/>
      </c>
      <c r="FU732" s="1394"/>
      <c r="FV732" s="1394"/>
      <c r="FW732" s="1394"/>
      <c r="FX732" s="1395"/>
      <c r="FY732" s="1393" t="str">
        <f t="shared" si="35"/>
        <v/>
      </c>
      <c r="FZ732" s="1394"/>
      <c r="GA732" s="1394"/>
      <c r="GB732" s="1394"/>
      <c r="GC732" s="1395"/>
    </row>
    <row r="733" spans="1:185" ht="12.9" customHeight="1">
      <c r="B733" s="1397"/>
      <c r="C733" s="1398"/>
      <c r="D733" s="1398"/>
      <c r="E733" s="1398"/>
      <c r="F733" s="1399"/>
      <c r="G733" s="1403"/>
      <c r="H733" s="1404"/>
      <c r="I733" s="1404"/>
      <c r="J733" s="1405"/>
      <c r="K733" s="1622"/>
      <c r="L733" s="1623"/>
      <c r="M733" s="1623"/>
      <c r="N733" s="1624"/>
      <c r="O733" s="1500"/>
      <c r="P733" s="1501"/>
      <c r="Q733" s="1501"/>
      <c r="R733" s="1501"/>
      <c r="S733" s="1502"/>
      <c r="T733" s="1500"/>
      <c r="U733" s="1501"/>
      <c r="V733" s="1501"/>
      <c r="W733" s="1502"/>
      <c r="X733" s="1338">
        <f t="shared" si="8"/>
        <v>0</v>
      </c>
      <c r="Y733" s="1339"/>
      <c r="Z733" s="1339"/>
      <c r="AA733" s="1339"/>
      <c r="AB733" s="1340"/>
      <c r="AC733" s="1636"/>
      <c r="AD733" s="1637"/>
      <c r="AE733" s="1637"/>
      <c r="AF733" s="1637"/>
      <c r="AG733" s="1638"/>
      <c r="AH733" s="1400" t="str">
        <f t="shared" si="36"/>
        <v/>
      </c>
      <c r="AI733" s="1401"/>
      <c r="AJ733" s="1402"/>
      <c r="AK733" s="1397" t="s">
        <v>592</v>
      </c>
      <c r="AL733" s="1398"/>
      <c r="AM733" s="1398"/>
      <c r="AN733" s="1398"/>
      <c r="AO733" s="139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93">
        <f t="shared" si="37"/>
        <v>0</v>
      </c>
      <c r="CH733" s="1395"/>
      <c r="CI733" s="1377">
        <f t="shared" si="38"/>
        <v>0</v>
      </c>
      <c r="CJ733" s="1379"/>
      <c r="CK733" s="1393">
        <f t="shared" si="16"/>
        <v>0</v>
      </c>
      <c r="CL733" s="1395"/>
      <c r="CM733" s="1377">
        <f t="shared" si="17"/>
        <v>0</v>
      </c>
      <c r="CN733" s="1379"/>
      <c r="CO733" s="3"/>
      <c r="CP733" s="1374">
        <f t="shared" si="18"/>
        <v>0</v>
      </c>
      <c r="CQ733" s="1375"/>
      <c r="CR733" s="1375"/>
      <c r="CS733" s="1375"/>
      <c r="CT733" s="1376"/>
      <c r="CU733" s="1396">
        <f t="shared" si="19"/>
        <v>0</v>
      </c>
      <c r="CV733" s="1396"/>
      <c r="CW733" s="1396"/>
      <c r="CX733" s="1396"/>
      <c r="CY733" s="1396"/>
      <c r="CZ733" s="1396">
        <f t="shared" si="20"/>
        <v>0</v>
      </c>
      <c r="DA733" s="1396"/>
      <c r="DB733" s="1396"/>
      <c r="DC733" s="1396"/>
      <c r="DD733" s="1396"/>
      <c r="DE733" s="1396">
        <f t="shared" si="21"/>
        <v>0</v>
      </c>
      <c r="DF733" s="1396"/>
      <c r="DG733" s="1396"/>
      <c r="DH733" s="1396"/>
      <c r="DI733" s="1396"/>
      <c r="DJ733" s="1396">
        <f t="shared" si="22"/>
        <v>0</v>
      </c>
      <c r="DK733" s="1396"/>
      <c r="DL733" s="1396"/>
      <c r="DM733" s="1396"/>
      <c r="DN733" s="1396"/>
      <c r="DO733" s="1396">
        <f t="shared" si="23"/>
        <v>0</v>
      </c>
      <c r="DP733" s="1396"/>
      <c r="DQ733" s="1396"/>
      <c r="DR733" s="1396"/>
      <c r="DS733" s="1396"/>
      <c r="DT733" s="6"/>
      <c r="DU733" s="1407">
        <f t="shared" si="24"/>
        <v>0</v>
      </c>
      <c r="DV733" s="1407"/>
      <c r="DW733" s="1407"/>
      <c r="DX733" s="1407"/>
      <c r="DY733" s="1407"/>
      <c r="DZ733" s="1407">
        <f t="shared" si="25"/>
        <v>0</v>
      </c>
      <c r="EA733" s="1407"/>
      <c r="EB733" s="1407"/>
      <c r="EC733" s="1407"/>
      <c r="ED733" s="1407"/>
      <c r="EE733" s="1407">
        <f t="shared" si="26"/>
        <v>0</v>
      </c>
      <c r="EF733" s="1407"/>
      <c r="EG733" s="1407"/>
      <c r="EH733" s="1407"/>
      <c r="EI733" s="1407"/>
      <c r="EJ733" s="1407">
        <f t="shared" si="27"/>
        <v>0</v>
      </c>
      <c r="EK733" s="1407"/>
      <c r="EL733" s="1407"/>
      <c r="EM733" s="1407"/>
      <c r="EN733" s="1407"/>
      <c r="EO733" s="1407">
        <f t="shared" si="28"/>
        <v>0</v>
      </c>
      <c r="EP733" s="1407"/>
      <c r="EQ733" s="1407"/>
      <c r="ER733" s="1407"/>
      <c r="ES733" s="1407"/>
      <c r="ET733" s="1407">
        <f t="shared" si="29"/>
        <v>0</v>
      </c>
      <c r="EU733" s="1407"/>
      <c r="EV733" s="1407"/>
      <c r="EW733" s="1407"/>
      <c r="EX733" s="1407"/>
      <c r="EZ733" s="1393" t="str">
        <f t="shared" si="30"/>
        <v/>
      </c>
      <c r="FA733" s="1394"/>
      <c r="FB733" s="1394"/>
      <c r="FC733" s="1394"/>
      <c r="FD733" s="1395"/>
      <c r="FE733" s="1393" t="str">
        <f t="shared" si="31"/>
        <v/>
      </c>
      <c r="FF733" s="1394"/>
      <c r="FG733" s="1394"/>
      <c r="FH733" s="1394"/>
      <c r="FI733" s="1395"/>
      <c r="FJ733" s="1393" t="str">
        <f t="shared" si="32"/>
        <v/>
      </c>
      <c r="FK733" s="1394"/>
      <c r="FL733" s="1394"/>
      <c r="FM733" s="1394"/>
      <c r="FN733" s="1395"/>
      <c r="FO733" s="1393" t="str">
        <f t="shared" si="33"/>
        <v/>
      </c>
      <c r="FP733" s="1394"/>
      <c r="FQ733" s="1394"/>
      <c r="FR733" s="1394"/>
      <c r="FS733" s="1395"/>
      <c r="FT733" s="1393" t="str">
        <f t="shared" si="34"/>
        <v/>
      </c>
      <c r="FU733" s="1394"/>
      <c r="FV733" s="1394"/>
      <c r="FW733" s="1394"/>
      <c r="FX733" s="1395"/>
      <c r="FY733" s="1393" t="str">
        <f t="shared" si="35"/>
        <v/>
      </c>
      <c r="FZ733" s="1394"/>
      <c r="GA733" s="1394"/>
      <c r="GB733" s="1394"/>
      <c r="GC733" s="1395"/>
    </row>
    <row r="734" spans="1:185" ht="12.9" customHeight="1">
      <c r="B734" s="1397"/>
      <c r="C734" s="1398"/>
      <c r="D734" s="1398"/>
      <c r="E734" s="1398"/>
      <c r="F734" s="1399"/>
      <c r="G734" s="1403"/>
      <c r="H734" s="1404"/>
      <c r="I734" s="1404"/>
      <c r="J734" s="1405"/>
      <c r="K734" s="1622"/>
      <c r="L734" s="1623"/>
      <c r="M734" s="1623"/>
      <c r="N734" s="1624"/>
      <c r="O734" s="1500"/>
      <c r="P734" s="1501"/>
      <c r="Q734" s="1501"/>
      <c r="R734" s="1501"/>
      <c r="S734" s="1502"/>
      <c r="T734" s="1500"/>
      <c r="U734" s="1501"/>
      <c r="V734" s="1501"/>
      <c r="W734" s="1502"/>
      <c r="X734" s="1338">
        <f t="shared" si="8"/>
        <v>0</v>
      </c>
      <c r="Y734" s="1339"/>
      <c r="Z734" s="1339"/>
      <c r="AA734" s="1339"/>
      <c r="AB734" s="1340"/>
      <c r="AC734" s="1636"/>
      <c r="AD734" s="1637"/>
      <c r="AE734" s="1637"/>
      <c r="AF734" s="1637"/>
      <c r="AG734" s="1638"/>
      <c r="AH734" s="1400" t="str">
        <f t="shared" si="36"/>
        <v/>
      </c>
      <c r="AI734" s="1401"/>
      <c r="AJ734" s="1402"/>
      <c r="AK734" s="1397" t="s">
        <v>592</v>
      </c>
      <c r="AL734" s="1398"/>
      <c r="AM734" s="1398"/>
      <c r="AN734" s="1398"/>
      <c r="AO734" s="139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93">
        <f t="shared" si="37"/>
        <v>0</v>
      </c>
      <c r="CH734" s="1395"/>
      <c r="CI734" s="1377">
        <f t="shared" si="38"/>
        <v>0</v>
      </c>
      <c r="CJ734" s="1379"/>
      <c r="CK734" s="1393">
        <f t="shared" si="16"/>
        <v>0</v>
      </c>
      <c r="CL734" s="1395"/>
      <c r="CM734" s="1377">
        <f t="shared" si="17"/>
        <v>0</v>
      </c>
      <c r="CN734" s="1379"/>
      <c r="CO734" s="3"/>
      <c r="CP734" s="1374">
        <f t="shared" si="18"/>
        <v>0</v>
      </c>
      <c r="CQ734" s="1375"/>
      <c r="CR734" s="1375"/>
      <c r="CS734" s="1375"/>
      <c r="CT734" s="1376"/>
      <c r="CU734" s="1396">
        <f t="shared" si="19"/>
        <v>0</v>
      </c>
      <c r="CV734" s="1396"/>
      <c r="CW734" s="1396"/>
      <c r="CX734" s="1396"/>
      <c r="CY734" s="1396"/>
      <c r="CZ734" s="1396">
        <f t="shared" si="20"/>
        <v>0</v>
      </c>
      <c r="DA734" s="1396"/>
      <c r="DB734" s="1396"/>
      <c r="DC734" s="1396"/>
      <c r="DD734" s="1396"/>
      <c r="DE734" s="1396">
        <f t="shared" si="21"/>
        <v>0</v>
      </c>
      <c r="DF734" s="1396"/>
      <c r="DG734" s="1396"/>
      <c r="DH734" s="1396"/>
      <c r="DI734" s="1396"/>
      <c r="DJ734" s="1396">
        <f t="shared" si="22"/>
        <v>0</v>
      </c>
      <c r="DK734" s="1396"/>
      <c r="DL734" s="1396"/>
      <c r="DM734" s="1396"/>
      <c r="DN734" s="1396"/>
      <c r="DO734" s="1396">
        <f t="shared" si="23"/>
        <v>0</v>
      </c>
      <c r="DP734" s="1396"/>
      <c r="DQ734" s="1396"/>
      <c r="DR734" s="1396"/>
      <c r="DS734" s="1396"/>
      <c r="DT734" s="6"/>
      <c r="DU734" s="1407">
        <f t="shared" si="24"/>
        <v>0</v>
      </c>
      <c r="DV734" s="1407"/>
      <c r="DW734" s="1407"/>
      <c r="DX734" s="1407"/>
      <c r="DY734" s="1407"/>
      <c r="DZ734" s="1407">
        <f t="shared" si="25"/>
        <v>0</v>
      </c>
      <c r="EA734" s="1407"/>
      <c r="EB734" s="1407"/>
      <c r="EC734" s="1407"/>
      <c r="ED734" s="1407"/>
      <c r="EE734" s="1407">
        <f t="shared" si="26"/>
        <v>0</v>
      </c>
      <c r="EF734" s="1407"/>
      <c r="EG734" s="1407"/>
      <c r="EH734" s="1407"/>
      <c r="EI734" s="1407"/>
      <c r="EJ734" s="1407">
        <f t="shared" si="27"/>
        <v>0</v>
      </c>
      <c r="EK734" s="1407"/>
      <c r="EL734" s="1407"/>
      <c r="EM734" s="1407"/>
      <c r="EN734" s="1407"/>
      <c r="EO734" s="1407">
        <f t="shared" si="28"/>
        <v>0</v>
      </c>
      <c r="EP734" s="1407"/>
      <c r="EQ734" s="1407"/>
      <c r="ER734" s="1407"/>
      <c r="ES734" s="1407"/>
      <c r="ET734" s="1407">
        <f t="shared" si="29"/>
        <v>0</v>
      </c>
      <c r="EU734" s="1407"/>
      <c r="EV734" s="1407"/>
      <c r="EW734" s="1407"/>
      <c r="EX734" s="1407"/>
      <c r="EZ734" s="1393" t="str">
        <f t="shared" si="30"/>
        <v/>
      </c>
      <c r="FA734" s="1394"/>
      <c r="FB734" s="1394"/>
      <c r="FC734" s="1394"/>
      <c r="FD734" s="1395"/>
      <c r="FE734" s="1393" t="str">
        <f t="shared" si="31"/>
        <v/>
      </c>
      <c r="FF734" s="1394"/>
      <c r="FG734" s="1394"/>
      <c r="FH734" s="1394"/>
      <c r="FI734" s="1395"/>
      <c r="FJ734" s="1393" t="str">
        <f t="shared" si="32"/>
        <v/>
      </c>
      <c r="FK734" s="1394"/>
      <c r="FL734" s="1394"/>
      <c r="FM734" s="1394"/>
      <c r="FN734" s="1395"/>
      <c r="FO734" s="1393" t="str">
        <f t="shared" si="33"/>
        <v/>
      </c>
      <c r="FP734" s="1394"/>
      <c r="FQ734" s="1394"/>
      <c r="FR734" s="1394"/>
      <c r="FS734" s="1395"/>
      <c r="FT734" s="1393" t="str">
        <f t="shared" si="34"/>
        <v/>
      </c>
      <c r="FU734" s="1394"/>
      <c r="FV734" s="1394"/>
      <c r="FW734" s="1394"/>
      <c r="FX734" s="1395"/>
      <c r="FY734" s="1393" t="str">
        <f t="shared" si="35"/>
        <v/>
      </c>
      <c r="FZ734" s="1394"/>
      <c r="GA734" s="1394"/>
      <c r="GB734" s="1394"/>
      <c r="GC734" s="1395"/>
    </row>
    <row r="735" spans="1:185" ht="12.9" customHeight="1">
      <c r="B735" s="1397"/>
      <c r="C735" s="1398"/>
      <c r="D735" s="1398"/>
      <c r="E735" s="1398"/>
      <c r="F735" s="1399"/>
      <c r="G735" s="1403"/>
      <c r="H735" s="1404"/>
      <c r="I735" s="1404"/>
      <c r="J735" s="1405"/>
      <c r="K735" s="1622"/>
      <c r="L735" s="1623"/>
      <c r="M735" s="1623"/>
      <c r="N735" s="1624"/>
      <c r="O735" s="1500"/>
      <c r="P735" s="1501"/>
      <c r="Q735" s="1501"/>
      <c r="R735" s="1501"/>
      <c r="S735" s="1502"/>
      <c r="T735" s="1500"/>
      <c r="U735" s="1501"/>
      <c r="V735" s="1501"/>
      <c r="W735" s="1502"/>
      <c r="X735" s="1338">
        <f t="shared" si="8"/>
        <v>0</v>
      </c>
      <c r="Y735" s="1339"/>
      <c r="Z735" s="1339"/>
      <c r="AA735" s="1339"/>
      <c r="AB735" s="1340"/>
      <c r="AC735" s="1636"/>
      <c r="AD735" s="1637"/>
      <c r="AE735" s="1637"/>
      <c r="AF735" s="1637"/>
      <c r="AG735" s="1638"/>
      <c r="AH735" s="1400" t="str">
        <f t="shared" si="36"/>
        <v/>
      </c>
      <c r="AI735" s="1401"/>
      <c r="AJ735" s="1402"/>
      <c r="AK735" s="1397" t="s">
        <v>592</v>
      </c>
      <c r="AL735" s="1398"/>
      <c r="AM735" s="1398"/>
      <c r="AN735" s="1398"/>
      <c r="AO735" s="139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93">
        <f t="shared" si="37"/>
        <v>0</v>
      </c>
      <c r="CH735" s="1395"/>
      <c r="CI735" s="1377">
        <f t="shared" si="38"/>
        <v>0</v>
      </c>
      <c r="CJ735" s="1379"/>
      <c r="CK735" s="1393">
        <f t="shared" si="16"/>
        <v>0</v>
      </c>
      <c r="CL735" s="1395"/>
      <c r="CM735" s="1377">
        <f t="shared" si="17"/>
        <v>0</v>
      </c>
      <c r="CN735" s="1379"/>
      <c r="CO735" s="3"/>
      <c r="CP735" s="1374">
        <f t="shared" si="18"/>
        <v>0</v>
      </c>
      <c r="CQ735" s="1375"/>
      <c r="CR735" s="1375"/>
      <c r="CS735" s="1375"/>
      <c r="CT735" s="1376"/>
      <c r="CU735" s="1396">
        <f t="shared" si="19"/>
        <v>0</v>
      </c>
      <c r="CV735" s="1396"/>
      <c r="CW735" s="1396"/>
      <c r="CX735" s="1396"/>
      <c r="CY735" s="1396"/>
      <c r="CZ735" s="1396">
        <f t="shared" si="20"/>
        <v>0</v>
      </c>
      <c r="DA735" s="1396"/>
      <c r="DB735" s="1396"/>
      <c r="DC735" s="1396"/>
      <c r="DD735" s="1396"/>
      <c r="DE735" s="1396">
        <f t="shared" si="21"/>
        <v>0</v>
      </c>
      <c r="DF735" s="1396"/>
      <c r="DG735" s="1396"/>
      <c r="DH735" s="1396"/>
      <c r="DI735" s="1396"/>
      <c r="DJ735" s="1396">
        <f t="shared" si="22"/>
        <v>0</v>
      </c>
      <c r="DK735" s="1396"/>
      <c r="DL735" s="1396"/>
      <c r="DM735" s="1396"/>
      <c r="DN735" s="1396"/>
      <c r="DO735" s="1396">
        <f t="shared" si="23"/>
        <v>0</v>
      </c>
      <c r="DP735" s="1396"/>
      <c r="DQ735" s="1396"/>
      <c r="DR735" s="1396"/>
      <c r="DS735" s="1396"/>
      <c r="DT735" s="6"/>
      <c r="DU735" s="1407">
        <f t="shared" si="24"/>
        <v>0</v>
      </c>
      <c r="DV735" s="1407"/>
      <c r="DW735" s="1407"/>
      <c r="DX735" s="1407"/>
      <c r="DY735" s="1407"/>
      <c r="DZ735" s="1407">
        <f t="shared" si="25"/>
        <v>0</v>
      </c>
      <c r="EA735" s="1407"/>
      <c r="EB735" s="1407"/>
      <c r="EC735" s="1407"/>
      <c r="ED735" s="1407"/>
      <c r="EE735" s="1407">
        <f t="shared" si="26"/>
        <v>0</v>
      </c>
      <c r="EF735" s="1407"/>
      <c r="EG735" s="1407"/>
      <c r="EH735" s="1407"/>
      <c r="EI735" s="1407"/>
      <c r="EJ735" s="1407">
        <f t="shared" si="27"/>
        <v>0</v>
      </c>
      <c r="EK735" s="1407"/>
      <c r="EL735" s="1407"/>
      <c r="EM735" s="1407"/>
      <c r="EN735" s="1407"/>
      <c r="EO735" s="1407">
        <f t="shared" si="28"/>
        <v>0</v>
      </c>
      <c r="EP735" s="1407"/>
      <c r="EQ735" s="1407"/>
      <c r="ER735" s="1407"/>
      <c r="ES735" s="1407"/>
      <c r="ET735" s="1407">
        <f t="shared" si="29"/>
        <v>0</v>
      </c>
      <c r="EU735" s="1407"/>
      <c r="EV735" s="1407"/>
      <c r="EW735" s="1407"/>
      <c r="EX735" s="1407"/>
      <c r="EZ735" s="1393" t="str">
        <f t="shared" si="30"/>
        <v/>
      </c>
      <c r="FA735" s="1394"/>
      <c r="FB735" s="1394"/>
      <c r="FC735" s="1394"/>
      <c r="FD735" s="1395"/>
      <c r="FE735" s="1393" t="str">
        <f t="shared" si="31"/>
        <v/>
      </c>
      <c r="FF735" s="1394"/>
      <c r="FG735" s="1394"/>
      <c r="FH735" s="1394"/>
      <c r="FI735" s="1395"/>
      <c r="FJ735" s="1393" t="str">
        <f t="shared" si="32"/>
        <v/>
      </c>
      <c r="FK735" s="1394"/>
      <c r="FL735" s="1394"/>
      <c r="FM735" s="1394"/>
      <c r="FN735" s="1395"/>
      <c r="FO735" s="1393" t="str">
        <f t="shared" si="33"/>
        <v/>
      </c>
      <c r="FP735" s="1394"/>
      <c r="FQ735" s="1394"/>
      <c r="FR735" s="1394"/>
      <c r="FS735" s="1395"/>
      <c r="FT735" s="1393" t="str">
        <f t="shared" si="34"/>
        <v/>
      </c>
      <c r="FU735" s="1394"/>
      <c r="FV735" s="1394"/>
      <c r="FW735" s="1394"/>
      <c r="FX735" s="1395"/>
      <c r="FY735" s="1393" t="str">
        <f t="shared" si="35"/>
        <v/>
      </c>
      <c r="FZ735" s="1394"/>
      <c r="GA735" s="1394"/>
      <c r="GB735" s="1394"/>
      <c r="GC735" s="1395"/>
    </row>
    <row r="736" spans="1:185" ht="12.9" customHeight="1">
      <c r="B736" s="1397"/>
      <c r="C736" s="1398"/>
      <c r="D736" s="1398"/>
      <c r="E736" s="1398"/>
      <c r="F736" s="1399"/>
      <c r="G736" s="1403"/>
      <c r="H736" s="1404"/>
      <c r="I736" s="1404"/>
      <c r="J736" s="1405"/>
      <c r="K736" s="1622"/>
      <c r="L736" s="1623"/>
      <c r="M736" s="1623"/>
      <c r="N736" s="1624"/>
      <c r="O736" s="1500"/>
      <c r="P736" s="1501"/>
      <c r="Q736" s="1501"/>
      <c r="R736" s="1501"/>
      <c r="S736" s="1502"/>
      <c r="T736" s="1500"/>
      <c r="U736" s="1501"/>
      <c r="V736" s="1501"/>
      <c r="W736" s="1502"/>
      <c r="X736" s="1338">
        <f t="shared" si="8"/>
        <v>0</v>
      </c>
      <c r="Y736" s="1339"/>
      <c r="Z736" s="1339"/>
      <c r="AA736" s="1339"/>
      <c r="AB736" s="1340"/>
      <c r="AC736" s="1636"/>
      <c r="AD736" s="1637"/>
      <c r="AE736" s="1637"/>
      <c r="AF736" s="1637"/>
      <c r="AG736" s="1638"/>
      <c r="AH736" s="1400" t="str">
        <f t="shared" si="36"/>
        <v/>
      </c>
      <c r="AI736" s="1401"/>
      <c r="AJ736" s="1402"/>
      <c r="AK736" s="1397" t="s">
        <v>592</v>
      </c>
      <c r="AL736" s="1398"/>
      <c r="AM736" s="1398"/>
      <c r="AN736" s="1398"/>
      <c r="AO736" s="139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93">
        <f t="shared" si="37"/>
        <v>0</v>
      </c>
      <c r="CH736" s="1395"/>
      <c r="CI736" s="1377">
        <f t="shared" si="38"/>
        <v>0</v>
      </c>
      <c r="CJ736" s="1379"/>
      <c r="CK736" s="1393">
        <f t="shared" si="16"/>
        <v>0</v>
      </c>
      <c r="CL736" s="1395"/>
      <c r="CM736" s="1377">
        <f t="shared" si="17"/>
        <v>0</v>
      </c>
      <c r="CN736" s="1379"/>
      <c r="CO736" s="3"/>
      <c r="CP736" s="1374">
        <f t="shared" si="18"/>
        <v>0</v>
      </c>
      <c r="CQ736" s="1375"/>
      <c r="CR736" s="1375"/>
      <c r="CS736" s="1375"/>
      <c r="CT736" s="1376"/>
      <c r="CU736" s="1396">
        <f t="shared" si="19"/>
        <v>0</v>
      </c>
      <c r="CV736" s="1396"/>
      <c r="CW736" s="1396"/>
      <c r="CX736" s="1396"/>
      <c r="CY736" s="1396"/>
      <c r="CZ736" s="1396">
        <f t="shared" si="20"/>
        <v>0</v>
      </c>
      <c r="DA736" s="1396"/>
      <c r="DB736" s="1396"/>
      <c r="DC736" s="1396"/>
      <c r="DD736" s="1396"/>
      <c r="DE736" s="1396">
        <f t="shared" si="21"/>
        <v>0</v>
      </c>
      <c r="DF736" s="1396"/>
      <c r="DG736" s="1396"/>
      <c r="DH736" s="1396"/>
      <c r="DI736" s="1396"/>
      <c r="DJ736" s="1396">
        <f t="shared" si="22"/>
        <v>0</v>
      </c>
      <c r="DK736" s="1396"/>
      <c r="DL736" s="1396"/>
      <c r="DM736" s="1396"/>
      <c r="DN736" s="1396"/>
      <c r="DO736" s="1396">
        <f t="shared" si="23"/>
        <v>0</v>
      </c>
      <c r="DP736" s="1396"/>
      <c r="DQ736" s="1396"/>
      <c r="DR736" s="1396"/>
      <c r="DS736" s="1396"/>
      <c r="DT736" s="6"/>
      <c r="DU736" s="1407">
        <f t="shared" si="24"/>
        <v>0</v>
      </c>
      <c r="DV736" s="1407"/>
      <c r="DW736" s="1407"/>
      <c r="DX736" s="1407"/>
      <c r="DY736" s="1407"/>
      <c r="DZ736" s="1407">
        <f t="shared" si="25"/>
        <v>0</v>
      </c>
      <c r="EA736" s="1407"/>
      <c r="EB736" s="1407"/>
      <c r="EC736" s="1407"/>
      <c r="ED736" s="1407"/>
      <c r="EE736" s="1407">
        <f t="shared" si="26"/>
        <v>0</v>
      </c>
      <c r="EF736" s="1407"/>
      <c r="EG736" s="1407"/>
      <c r="EH736" s="1407"/>
      <c r="EI736" s="1407"/>
      <c r="EJ736" s="1407">
        <f t="shared" si="27"/>
        <v>0</v>
      </c>
      <c r="EK736" s="1407"/>
      <c r="EL736" s="1407"/>
      <c r="EM736" s="1407"/>
      <c r="EN736" s="1407"/>
      <c r="EO736" s="1407">
        <f t="shared" si="28"/>
        <v>0</v>
      </c>
      <c r="EP736" s="1407"/>
      <c r="EQ736" s="1407"/>
      <c r="ER736" s="1407"/>
      <c r="ES736" s="1407"/>
      <c r="ET736" s="1407">
        <f t="shared" si="29"/>
        <v>0</v>
      </c>
      <c r="EU736" s="1407"/>
      <c r="EV736" s="1407"/>
      <c r="EW736" s="1407"/>
      <c r="EX736" s="1407"/>
      <c r="EZ736" s="1393" t="str">
        <f t="shared" si="30"/>
        <v/>
      </c>
      <c r="FA736" s="1394"/>
      <c r="FB736" s="1394"/>
      <c r="FC736" s="1394"/>
      <c r="FD736" s="1395"/>
      <c r="FE736" s="1393" t="str">
        <f t="shared" si="31"/>
        <v/>
      </c>
      <c r="FF736" s="1394"/>
      <c r="FG736" s="1394"/>
      <c r="FH736" s="1394"/>
      <c r="FI736" s="1395"/>
      <c r="FJ736" s="1393" t="str">
        <f t="shared" si="32"/>
        <v/>
      </c>
      <c r="FK736" s="1394"/>
      <c r="FL736" s="1394"/>
      <c r="FM736" s="1394"/>
      <c r="FN736" s="1395"/>
      <c r="FO736" s="1393" t="str">
        <f t="shared" si="33"/>
        <v/>
      </c>
      <c r="FP736" s="1394"/>
      <c r="FQ736" s="1394"/>
      <c r="FR736" s="1394"/>
      <c r="FS736" s="1395"/>
      <c r="FT736" s="1393" t="str">
        <f t="shared" si="34"/>
        <v/>
      </c>
      <c r="FU736" s="1394"/>
      <c r="FV736" s="1394"/>
      <c r="FW736" s="1394"/>
      <c r="FX736" s="1395"/>
      <c r="FY736" s="1393" t="str">
        <f t="shared" si="35"/>
        <v/>
      </c>
      <c r="FZ736" s="1394"/>
      <c r="GA736" s="1394"/>
      <c r="GB736" s="1394"/>
      <c r="GC736" s="1395"/>
    </row>
    <row r="737" spans="1:185" ht="12.9" customHeight="1">
      <c r="B737" s="1397"/>
      <c r="C737" s="1398"/>
      <c r="D737" s="1398"/>
      <c r="E737" s="1398"/>
      <c r="F737" s="1399"/>
      <c r="G737" s="1403"/>
      <c r="H737" s="1404"/>
      <c r="I737" s="1404"/>
      <c r="J737" s="1405"/>
      <c r="K737" s="1622"/>
      <c r="L737" s="1623"/>
      <c r="M737" s="1623"/>
      <c r="N737" s="1624"/>
      <c r="O737" s="1500"/>
      <c r="P737" s="1501"/>
      <c r="Q737" s="1501"/>
      <c r="R737" s="1501"/>
      <c r="S737" s="1502"/>
      <c r="T737" s="1500"/>
      <c r="U737" s="1501"/>
      <c r="V737" s="1501"/>
      <c r="W737" s="1502"/>
      <c r="X737" s="1338">
        <f t="shared" si="8"/>
        <v>0</v>
      </c>
      <c r="Y737" s="1339"/>
      <c r="Z737" s="1339"/>
      <c r="AA737" s="1339"/>
      <c r="AB737" s="1340"/>
      <c r="AC737" s="1636"/>
      <c r="AD737" s="1637"/>
      <c r="AE737" s="1637"/>
      <c r="AF737" s="1637"/>
      <c r="AG737" s="1638"/>
      <c r="AH737" s="1400" t="str">
        <f t="shared" si="36"/>
        <v/>
      </c>
      <c r="AI737" s="1401"/>
      <c r="AJ737" s="1402"/>
      <c r="AK737" s="1397" t="s">
        <v>592</v>
      </c>
      <c r="AL737" s="1398"/>
      <c r="AM737" s="1398"/>
      <c r="AN737" s="1398"/>
      <c r="AO737" s="139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93">
        <f t="shared" si="37"/>
        <v>0</v>
      </c>
      <c r="CH737" s="1395"/>
      <c r="CI737" s="1377">
        <f t="shared" si="38"/>
        <v>0</v>
      </c>
      <c r="CJ737" s="1379"/>
      <c r="CK737" s="1393">
        <f t="shared" si="16"/>
        <v>0</v>
      </c>
      <c r="CL737" s="1395"/>
      <c r="CM737" s="1377">
        <f t="shared" si="17"/>
        <v>0</v>
      </c>
      <c r="CN737" s="1379"/>
      <c r="CO737" s="3"/>
      <c r="CP737" s="1374">
        <f t="shared" si="18"/>
        <v>0</v>
      </c>
      <c r="CQ737" s="1375"/>
      <c r="CR737" s="1375"/>
      <c r="CS737" s="1375"/>
      <c r="CT737" s="1376"/>
      <c r="CU737" s="1396">
        <f t="shared" si="19"/>
        <v>0</v>
      </c>
      <c r="CV737" s="1396"/>
      <c r="CW737" s="1396"/>
      <c r="CX737" s="1396"/>
      <c r="CY737" s="1396"/>
      <c r="CZ737" s="1396">
        <f t="shared" si="20"/>
        <v>0</v>
      </c>
      <c r="DA737" s="1396"/>
      <c r="DB737" s="1396"/>
      <c r="DC737" s="1396"/>
      <c r="DD737" s="1396"/>
      <c r="DE737" s="1396">
        <f t="shared" si="21"/>
        <v>0</v>
      </c>
      <c r="DF737" s="1396"/>
      <c r="DG737" s="1396"/>
      <c r="DH737" s="1396"/>
      <c r="DI737" s="1396"/>
      <c r="DJ737" s="1396">
        <f t="shared" si="22"/>
        <v>0</v>
      </c>
      <c r="DK737" s="1396"/>
      <c r="DL737" s="1396"/>
      <c r="DM737" s="1396"/>
      <c r="DN737" s="1396"/>
      <c r="DO737" s="1396">
        <f t="shared" si="23"/>
        <v>0</v>
      </c>
      <c r="DP737" s="1396"/>
      <c r="DQ737" s="1396"/>
      <c r="DR737" s="1396"/>
      <c r="DS737" s="1396"/>
      <c r="DT737" s="6"/>
      <c r="DU737" s="1407">
        <f t="shared" si="24"/>
        <v>0</v>
      </c>
      <c r="DV737" s="1407"/>
      <c r="DW737" s="1407"/>
      <c r="DX737" s="1407"/>
      <c r="DY737" s="1407"/>
      <c r="DZ737" s="1407">
        <f t="shared" si="25"/>
        <v>0</v>
      </c>
      <c r="EA737" s="1407"/>
      <c r="EB737" s="1407"/>
      <c r="EC737" s="1407"/>
      <c r="ED737" s="1407"/>
      <c r="EE737" s="1407">
        <f t="shared" si="26"/>
        <v>0</v>
      </c>
      <c r="EF737" s="1407"/>
      <c r="EG737" s="1407"/>
      <c r="EH737" s="1407"/>
      <c r="EI737" s="1407"/>
      <c r="EJ737" s="1407">
        <f t="shared" si="27"/>
        <v>0</v>
      </c>
      <c r="EK737" s="1407"/>
      <c r="EL737" s="1407"/>
      <c r="EM737" s="1407"/>
      <c r="EN737" s="1407"/>
      <c r="EO737" s="1407">
        <f t="shared" si="28"/>
        <v>0</v>
      </c>
      <c r="EP737" s="1407"/>
      <c r="EQ737" s="1407"/>
      <c r="ER737" s="1407"/>
      <c r="ES737" s="1407"/>
      <c r="ET737" s="1407">
        <f t="shared" si="29"/>
        <v>0</v>
      </c>
      <c r="EU737" s="1407"/>
      <c r="EV737" s="1407"/>
      <c r="EW737" s="1407"/>
      <c r="EX737" s="1407"/>
      <c r="EZ737" s="1393" t="str">
        <f t="shared" si="30"/>
        <v/>
      </c>
      <c r="FA737" s="1394"/>
      <c r="FB737" s="1394"/>
      <c r="FC737" s="1394"/>
      <c r="FD737" s="1395"/>
      <c r="FE737" s="1393" t="str">
        <f t="shared" si="31"/>
        <v/>
      </c>
      <c r="FF737" s="1394"/>
      <c r="FG737" s="1394"/>
      <c r="FH737" s="1394"/>
      <c r="FI737" s="1395"/>
      <c r="FJ737" s="1393" t="str">
        <f t="shared" si="32"/>
        <v/>
      </c>
      <c r="FK737" s="1394"/>
      <c r="FL737" s="1394"/>
      <c r="FM737" s="1394"/>
      <c r="FN737" s="1395"/>
      <c r="FO737" s="1393" t="str">
        <f t="shared" si="33"/>
        <v/>
      </c>
      <c r="FP737" s="1394"/>
      <c r="FQ737" s="1394"/>
      <c r="FR737" s="1394"/>
      <c r="FS737" s="1395"/>
      <c r="FT737" s="1393" t="str">
        <f t="shared" si="34"/>
        <v/>
      </c>
      <c r="FU737" s="1394"/>
      <c r="FV737" s="1394"/>
      <c r="FW737" s="1394"/>
      <c r="FX737" s="1395"/>
      <c r="FY737" s="1393" t="str">
        <f t="shared" si="35"/>
        <v/>
      </c>
      <c r="FZ737" s="1394"/>
      <c r="GA737" s="1394"/>
      <c r="GB737" s="1394"/>
      <c r="GC737" s="1395"/>
    </row>
    <row r="738" spans="1:185" ht="12.9" customHeight="1">
      <c r="B738" s="1397"/>
      <c r="C738" s="1398"/>
      <c r="D738" s="1398"/>
      <c r="E738" s="1398"/>
      <c r="F738" s="1399"/>
      <c r="G738" s="1403"/>
      <c r="H738" s="1404"/>
      <c r="I738" s="1404"/>
      <c r="J738" s="1405"/>
      <c r="K738" s="1622"/>
      <c r="L738" s="1623"/>
      <c r="M738" s="1623"/>
      <c r="N738" s="1624"/>
      <c r="O738" s="1500"/>
      <c r="P738" s="1501"/>
      <c r="Q738" s="1501"/>
      <c r="R738" s="1501"/>
      <c r="S738" s="1502"/>
      <c r="T738" s="1500"/>
      <c r="U738" s="1501"/>
      <c r="V738" s="1501"/>
      <c r="W738" s="1502"/>
      <c r="X738" s="1338">
        <f t="shared" si="8"/>
        <v>0</v>
      </c>
      <c r="Y738" s="1339"/>
      <c r="Z738" s="1339"/>
      <c r="AA738" s="1339"/>
      <c r="AB738" s="1340"/>
      <c r="AC738" s="1636"/>
      <c r="AD738" s="1637"/>
      <c r="AE738" s="1637"/>
      <c r="AF738" s="1637"/>
      <c r="AG738" s="1638"/>
      <c r="AH738" s="1400" t="str">
        <f t="shared" si="36"/>
        <v/>
      </c>
      <c r="AI738" s="1401"/>
      <c r="AJ738" s="1402"/>
      <c r="AK738" s="1397" t="s">
        <v>592</v>
      </c>
      <c r="AL738" s="1398"/>
      <c r="AM738" s="1398"/>
      <c r="AN738" s="1398"/>
      <c r="AO738" s="139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93">
        <f t="shared" si="37"/>
        <v>0</v>
      </c>
      <c r="CH738" s="1395"/>
      <c r="CI738" s="1377">
        <f t="shared" si="38"/>
        <v>0</v>
      </c>
      <c r="CJ738" s="1379"/>
      <c r="CK738" s="1393">
        <f t="shared" si="16"/>
        <v>0</v>
      </c>
      <c r="CL738" s="1395"/>
      <c r="CM738" s="1377">
        <f t="shared" si="17"/>
        <v>0</v>
      </c>
      <c r="CN738" s="1379"/>
      <c r="CO738" s="3"/>
      <c r="CP738" s="1374">
        <f t="shared" si="18"/>
        <v>0</v>
      </c>
      <c r="CQ738" s="1375"/>
      <c r="CR738" s="1375"/>
      <c r="CS738" s="1375"/>
      <c r="CT738" s="1376"/>
      <c r="CU738" s="1396">
        <f t="shared" si="19"/>
        <v>0</v>
      </c>
      <c r="CV738" s="1396"/>
      <c r="CW738" s="1396"/>
      <c r="CX738" s="1396"/>
      <c r="CY738" s="1396"/>
      <c r="CZ738" s="1396">
        <f t="shared" si="20"/>
        <v>0</v>
      </c>
      <c r="DA738" s="1396"/>
      <c r="DB738" s="1396"/>
      <c r="DC738" s="1396"/>
      <c r="DD738" s="1396"/>
      <c r="DE738" s="1396">
        <f t="shared" si="21"/>
        <v>0</v>
      </c>
      <c r="DF738" s="1396"/>
      <c r="DG738" s="1396"/>
      <c r="DH738" s="1396"/>
      <c r="DI738" s="1396"/>
      <c r="DJ738" s="1396">
        <f t="shared" si="22"/>
        <v>0</v>
      </c>
      <c r="DK738" s="1396"/>
      <c r="DL738" s="1396"/>
      <c r="DM738" s="1396"/>
      <c r="DN738" s="1396"/>
      <c r="DO738" s="1396">
        <f t="shared" si="23"/>
        <v>0</v>
      </c>
      <c r="DP738" s="1396"/>
      <c r="DQ738" s="1396"/>
      <c r="DR738" s="1396"/>
      <c r="DS738" s="1396"/>
      <c r="DT738" s="6"/>
      <c r="DU738" s="1407">
        <f t="shared" si="24"/>
        <v>0</v>
      </c>
      <c r="DV738" s="1407"/>
      <c r="DW738" s="1407"/>
      <c r="DX738" s="1407"/>
      <c r="DY738" s="1407"/>
      <c r="DZ738" s="1407">
        <f t="shared" si="25"/>
        <v>0</v>
      </c>
      <c r="EA738" s="1407"/>
      <c r="EB738" s="1407"/>
      <c r="EC738" s="1407"/>
      <c r="ED738" s="1407"/>
      <c r="EE738" s="1407">
        <f t="shared" si="26"/>
        <v>0</v>
      </c>
      <c r="EF738" s="1407"/>
      <c r="EG738" s="1407"/>
      <c r="EH738" s="1407"/>
      <c r="EI738" s="1407"/>
      <c r="EJ738" s="1407">
        <f t="shared" si="27"/>
        <v>0</v>
      </c>
      <c r="EK738" s="1407"/>
      <c r="EL738" s="1407"/>
      <c r="EM738" s="1407"/>
      <c r="EN738" s="1407"/>
      <c r="EO738" s="1407">
        <f t="shared" si="28"/>
        <v>0</v>
      </c>
      <c r="EP738" s="1407"/>
      <c r="EQ738" s="1407"/>
      <c r="ER738" s="1407"/>
      <c r="ES738" s="1407"/>
      <c r="ET738" s="1407">
        <f t="shared" si="29"/>
        <v>0</v>
      </c>
      <c r="EU738" s="1407"/>
      <c r="EV738" s="1407"/>
      <c r="EW738" s="1407"/>
      <c r="EX738" s="1407"/>
      <c r="EZ738" s="1393" t="str">
        <f t="shared" si="30"/>
        <v/>
      </c>
      <c r="FA738" s="1394"/>
      <c r="FB738" s="1394"/>
      <c r="FC738" s="1394"/>
      <c r="FD738" s="1395"/>
      <c r="FE738" s="1393" t="str">
        <f t="shared" si="31"/>
        <v/>
      </c>
      <c r="FF738" s="1394"/>
      <c r="FG738" s="1394"/>
      <c r="FH738" s="1394"/>
      <c r="FI738" s="1395"/>
      <c r="FJ738" s="1393" t="str">
        <f t="shared" si="32"/>
        <v/>
      </c>
      <c r="FK738" s="1394"/>
      <c r="FL738" s="1394"/>
      <c r="FM738" s="1394"/>
      <c r="FN738" s="1395"/>
      <c r="FO738" s="1393" t="str">
        <f t="shared" si="33"/>
        <v/>
      </c>
      <c r="FP738" s="1394"/>
      <c r="FQ738" s="1394"/>
      <c r="FR738" s="1394"/>
      <c r="FS738" s="1395"/>
      <c r="FT738" s="1393" t="str">
        <f t="shared" si="34"/>
        <v/>
      </c>
      <c r="FU738" s="1394"/>
      <c r="FV738" s="1394"/>
      <c r="FW738" s="1394"/>
      <c r="FX738" s="1395"/>
      <c r="FY738" s="1393" t="str">
        <f t="shared" si="35"/>
        <v/>
      </c>
      <c r="FZ738" s="1394"/>
      <c r="GA738" s="1394"/>
      <c r="GB738" s="1394"/>
      <c r="GC738" s="1395"/>
    </row>
    <row r="739" spans="1:185" ht="12.9" customHeight="1">
      <c r="B739" s="1397"/>
      <c r="C739" s="1398"/>
      <c r="D739" s="1398"/>
      <c r="E739" s="1398"/>
      <c r="F739" s="1399"/>
      <c r="G739" s="1403"/>
      <c r="H739" s="1404"/>
      <c r="I739" s="1404"/>
      <c r="J739" s="1405"/>
      <c r="K739" s="1622"/>
      <c r="L739" s="1623"/>
      <c r="M739" s="1623"/>
      <c r="N739" s="1624"/>
      <c r="O739" s="1500"/>
      <c r="P739" s="1501"/>
      <c r="Q739" s="1501"/>
      <c r="R739" s="1501"/>
      <c r="S739" s="1502"/>
      <c r="T739" s="1500"/>
      <c r="U739" s="1501"/>
      <c r="V739" s="1501"/>
      <c r="W739" s="1502"/>
      <c r="X739" s="1338">
        <f t="shared" si="8"/>
        <v>0</v>
      </c>
      <c r="Y739" s="1339"/>
      <c r="Z739" s="1339"/>
      <c r="AA739" s="1339"/>
      <c r="AB739" s="1340"/>
      <c r="AC739" s="1636"/>
      <c r="AD739" s="1637"/>
      <c r="AE739" s="1637"/>
      <c r="AF739" s="1637"/>
      <c r="AG739" s="1638"/>
      <c r="AH739" s="1400" t="str">
        <f t="shared" si="36"/>
        <v/>
      </c>
      <c r="AI739" s="1401"/>
      <c r="AJ739" s="1402"/>
      <c r="AK739" s="1397" t="s">
        <v>592</v>
      </c>
      <c r="AL739" s="1398"/>
      <c r="AM739" s="1398"/>
      <c r="AN739" s="1398"/>
      <c r="AO739" s="139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93">
        <f t="shared" si="37"/>
        <v>0</v>
      </c>
      <c r="CH739" s="1395"/>
      <c r="CI739" s="1377">
        <f t="shared" si="38"/>
        <v>0</v>
      </c>
      <c r="CJ739" s="1379"/>
      <c r="CK739" s="1393">
        <f t="shared" si="16"/>
        <v>0</v>
      </c>
      <c r="CL739" s="1395"/>
      <c r="CM739" s="1377">
        <f t="shared" si="17"/>
        <v>0</v>
      </c>
      <c r="CN739" s="1379"/>
      <c r="CO739" s="3"/>
      <c r="CP739" s="1374">
        <f t="shared" si="18"/>
        <v>0</v>
      </c>
      <c r="CQ739" s="1375"/>
      <c r="CR739" s="1375"/>
      <c r="CS739" s="1375"/>
      <c r="CT739" s="1376"/>
      <c r="CU739" s="1396">
        <f t="shared" si="19"/>
        <v>0</v>
      </c>
      <c r="CV739" s="1396"/>
      <c r="CW739" s="1396"/>
      <c r="CX739" s="1396"/>
      <c r="CY739" s="1396"/>
      <c r="CZ739" s="1396">
        <f t="shared" si="20"/>
        <v>0</v>
      </c>
      <c r="DA739" s="1396"/>
      <c r="DB739" s="1396"/>
      <c r="DC739" s="1396"/>
      <c r="DD739" s="1396"/>
      <c r="DE739" s="1396">
        <f t="shared" si="21"/>
        <v>0</v>
      </c>
      <c r="DF739" s="1396"/>
      <c r="DG739" s="1396"/>
      <c r="DH739" s="1396"/>
      <c r="DI739" s="1396"/>
      <c r="DJ739" s="1396">
        <f t="shared" si="22"/>
        <v>0</v>
      </c>
      <c r="DK739" s="1396"/>
      <c r="DL739" s="1396"/>
      <c r="DM739" s="1396"/>
      <c r="DN739" s="1396"/>
      <c r="DO739" s="1396">
        <f t="shared" si="23"/>
        <v>0</v>
      </c>
      <c r="DP739" s="1396"/>
      <c r="DQ739" s="1396"/>
      <c r="DR739" s="1396"/>
      <c r="DS739" s="1396"/>
      <c r="DT739" s="6"/>
      <c r="DU739" s="1407">
        <f t="shared" si="24"/>
        <v>0</v>
      </c>
      <c r="DV739" s="1407"/>
      <c r="DW739" s="1407"/>
      <c r="DX739" s="1407"/>
      <c r="DY739" s="1407"/>
      <c r="DZ739" s="1407">
        <f t="shared" si="25"/>
        <v>0</v>
      </c>
      <c r="EA739" s="1407"/>
      <c r="EB739" s="1407"/>
      <c r="EC739" s="1407"/>
      <c r="ED739" s="1407"/>
      <c r="EE739" s="1407">
        <f t="shared" si="26"/>
        <v>0</v>
      </c>
      <c r="EF739" s="1407"/>
      <c r="EG739" s="1407"/>
      <c r="EH739" s="1407"/>
      <c r="EI739" s="1407"/>
      <c r="EJ739" s="1407">
        <f t="shared" si="27"/>
        <v>0</v>
      </c>
      <c r="EK739" s="1407"/>
      <c r="EL739" s="1407"/>
      <c r="EM739" s="1407"/>
      <c r="EN739" s="1407"/>
      <c r="EO739" s="1407">
        <f t="shared" si="28"/>
        <v>0</v>
      </c>
      <c r="EP739" s="1407"/>
      <c r="EQ739" s="1407"/>
      <c r="ER739" s="1407"/>
      <c r="ES739" s="1407"/>
      <c r="ET739" s="1407">
        <f t="shared" si="29"/>
        <v>0</v>
      </c>
      <c r="EU739" s="1407"/>
      <c r="EV739" s="1407"/>
      <c r="EW739" s="1407"/>
      <c r="EX739" s="1407"/>
      <c r="EZ739" s="1393" t="str">
        <f t="shared" si="30"/>
        <v/>
      </c>
      <c r="FA739" s="1394"/>
      <c r="FB739" s="1394"/>
      <c r="FC739" s="1394"/>
      <c r="FD739" s="1395"/>
      <c r="FE739" s="1393" t="str">
        <f t="shared" si="31"/>
        <v/>
      </c>
      <c r="FF739" s="1394"/>
      <c r="FG739" s="1394"/>
      <c r="FH739" s="1394"/>
      <c r="FI739" s="1395"/>
      <c r="FJ739" s="1393" t="str">
        <f t="shared" si="32"/>
        <v/>
      </c>
      <c r="FK739" s="1394"/>
      <c r="FL739" s="1394"/>
      <c r="FM739" s="1394"/>
      <c r="FN739" s="1395"/>
      <c r="FO739" s="1393" t="str">
        <f t="shared" si="33"/>
        <v/>
      </c>
      <c r="FP739" s="1394"/>
      <c r="FQ739" s="1394"/>
      <c r="FR739" s="1394"/>
      <c r="FS739" s="1395"/>
      <c r="FT739" s="1393" t="str">
        <f t="shared" si="34"/>
        <v/>
      </c>
      <c r="FU739" s="1394"/>
      <c r="FV739" s="1394"/>
      <c r="FW739" s="1394"/>
      <c r="FX739" s="1395"/>
      <c r="FY739" s="1393" t="str">
        <f t="shared" si="35"/>
        <v/>
      </c>
      <c r="FZ739" s="1394"/>
      <c r="GA739" s="1394"/>
      <c r="GB739" s="1394"/>
      <c r="GC739" s="1395"/>
    </row>
    <row r="740" spans="1:185" ht="12.9" customHeight="1">
      <c r="B740" s="1397"/>
      <c r="C740" s="1398"/>
      <c r="D740" s="1398"/>
      <c r="E740" s="1398"/>
      <c r="F740" s="1399"/>
      <c r="G740" s="1403"/>
      <c r="H740" s="1404"/>
      <c r="I740" s="1404"/>
      <c r="J740" s="1405"/>
      <c r="K740" s="1622"/>
      <c r="L740" s="1623"/>
      <c r="M740" s="1623"/>
      <c r="N740" s="1624"/>
      <c r="O740" s="1500"/>
      <c r="P740" s="1501"/>
      <c r="Q740" s="1501"/>
      <c r="R740" s="1501"/>
      <c r="S740" s="1502"/>
      <c r="T740" s="1500"/>
      <c r="U740" s="1501"/>
      <c r="V740" s="1501"/>
      <c r="W740" s="1502"/>
      <c r="X740" s="1338">
        <f t="shared" si="8"/>
        <v>0</v>
      </c>
      <c r="Y740" s="1339"/>
      <c r="Z740" s="1339"/>
      <c r="AA740" s="1339"/>
      <c r="AB740" s="1340"/>
      <c r="AC740" s="1636"/>
      <c r="AD740" s="1637"/>
      <c r="AE740" s="1637"/>
      <c r="AF740" s="1637"/>
      <c r="AG740" s="1638"/>
      <c r="AH740" s="1400" t="str">
        <f t="shared" si="36"/>
        <v/>
      </c>
      <c r="AI740" s="1401"/>
      <c r="AJ740" s="1402"/>
      <c r="AK740" s="1397" t="s">
        <v>592</v>
      </c>
      <c r="AL740" s="1398"/>
      <c r="AM740" s="1398"/>
      <c r="AN740" s="1398"/>
      <c r="AO740" s="139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93">
        <f t="shared" si="37"/>
        <v>0</v>
      </c>
      <c r="CH740" s="1395"/>
      <c r="CI740" s="1377">
        <f t="shared" si="38"/>
        <v>0</v>
      </c>
      <c r="CJ740" s="1379"/>
      <c r="CK740" s="1393">
        <f t="shared" si="16"/>
        <v>0</v>
      </c>
      <c r="CL740" s="1395"/>
      <c r="CM740" s="1377">
        <f t="shared" si="17"/>
        <v>0</v>
      </c>
      <c r="CN740" s="1379"/>
      <c r="CO740" s="3"/>
      <c r="CP740" s="1374">
        <f t="shared" si="18"/>
        <v>0</v>
      </c>
      <c r="CQ740" s="1375"/>
      <c r="CR740" s="1375"/>
      <c r="CS740" s="1375"/>
      <c r="CT740" s="1376"/>
      <c r="CU740" s="1396">
        <f t="shared" si="19"/>
        <v>0</v>
      </c>
      <c r="CV740" s="1396"/>
      <c r="CW740" s="1396"/>
      <c r="CX740" s="1396"/>
      <c r="CY740" s="1396"/>
      <c r="CZ740" s="1396">
        <f t="shared" si="20"/>
        <v>0</v>
      </c>
      <c r="DA740" s="1396"/>
      <c r="DB740" s="1396"/>
      <c r="DC740" s="1396"/>
      <c r="DD740" s="1396"/>
      <c r="DE740" s="1396">
        <f t="shared" si="21"/>
        <v>0</v>
      </c>
      <c r="DF740" s="1396"/>
      <c r="DG740" s="1396"/>
      <c r="DH740" s="1396"/>
      <c r="DI740" s="1396"/>
      <c r="DJ740" s="1396">
        <f t="shared" si="22"/>
        <v>0</v>
      </c>
      <c r="DK740" s="1396"/>
      <c r="DL740" s="1396"/>
      <c r="DM740" s="1396"/>
      <c r="DN740" s="1396"/>
      <c r="DO740" s="1396">
        <f t="shared" si="23"/>
        <v>0</v>
      </c>
      <c r="DP740" s="1396"/>
      <c r="DQ740" s="1396"/>
      <c r="DR740" s="1396"/>
      <c r="DS740" s="1396"/>
      <c r="DT740" s="6"/>
      <c r="DU740" s="1407">
        <f t="shared" si="24"/>
        <v>0</v>
      </c>
      <c r="DV740" s="1407"/>
      <c r="DW740" s="1407"/>
      <c r="DX740" s="1407"/>
      <c r="DY740" s="1407"/>
      <c r="DZ740" s="1407">
        <f t="shared" si="25"/>
        <v>0</v>
      </c>
      <c r="EA740" s="1407"/>
      <c r="EB740" s="1407"/>
      <c r="EC740" s="1407"/>
      <c r="ED740" s="1407"/>
      <c r="EE740" s="1407">
        <f t="shared" si="26"/>
        <v>0</v>
      </c>
      <c r="EF740" s="1407"/>
      <c r="EG740" s="1407"/>
      <c r="EH740" s="1407"/>
      <c r="EI740" s="1407"/>
      <c r="EJ740" s="1407">
        <f t="shared" si="27"/>
        <v>0</v>
      </c>
      <c r="EK740" s="1407"/>
      <c r="EL740" s="1407"/>
      <c r="EM740" s="1407"/>
      <c r="EN740" s="1407"/>
      <c r="EO740" s="1407">
        <f t="shared" si="28"/>
        <v>0</v>
      </c>
      <c r="EP740" s="1407"/>
      <c r="EQ740" s="1407"/>
      <c r="ER740" s="1407"/>
      <c r="ES740" s="1407"/>
      <c r="ET740" s="1407">
        <f t="shared" si="29"/>
        <v>0</v>
      </c>
      <c r="EU740" s="1407"/>
      <c r="EV740" s="1407"/>
      <c r="EW740" s="1407"/>
      <c r="EX740" s="1407"/>
      <c r="EZ740" s="1393" t="str">
        <f t="shared" si="30"/>
        <v/>
      </c>
      <c r="FA740" s="1394"/>
      <c r="FB740" s="1394"/>
      <c r="FC740" s="1394"/>
      <c r="FD740" s="1395"/>
      <c r="FE740" s="1393" t="str">
        <f t="shared" si="31"/>
        <v/>
      </c>
      <c r="FF740" s="1394"/>
      <c r="FG740" s="1394"/>
      <c r="FH740" s="1394"/>
      <c r="FI740" s="1395"/>
      <c r="FJ740" s="1393" t="str">
        <f t="shared" si="32"/>
        <v/>
      </c>
      <c r="FK740" s="1394"/>
      <c r="FL740" s="1394"/>
      <c r="FM740" s="1394"/>
      <c r="FN740" s="1395"/>
      <c r="FO740" s="1393" t="str">
        <f t="shared" si="33"/>
        <v/>
      </c>
      <c r="FP740" s="1394"/>
      <c r="FQ740" s="1394"/>
      <c r="FR740" s="1394"/>
      <c r="FS740" s="1395"/>
      <c r="FT740" s="1393" t="str">
        <f t="shared" si="34"/>
        <v/>
      </c>
      <c r="FU740" s="1394"/>
      <c r="FV740" s="1394"/>
      <c r="FW740" s="1394"/>
      <c r="FX740" s="1395"/>
      <c r="FY740" s="1393" t="str">
        <f t="shared" si="35"/>
        <v/>
      </c>
      <c r="FZ740" s="1394"/>
      <c r="GA740" s="1394"/>
      <c r="GB740" s="1394"/>
      <c r="GC740" s="1395"/>
    </row>
    <row r="741" spans="1:185" ht="12.9" customHeight="1">
      <c r="B741" s="1397"/>
      <c r="C741" s="1398"/>
      <c r="D741" s="1398"/>
      <c r="E741" s="1398"/>
      <c r="F741" s="1399"/>
      <c r="G741" s="1403"/>
      <c r="H741" s="1404"/>
      <c r="I741" s="1404"/>
      <c r="J741" s="1405"/>
      <c r="K741" s="1622"/>
      <c r="L741" s="1623"/>
      <c r="M741" s="1623"/>
      <c r="N741" s="1624"/>
      <c r="O741" s="1500"/>
      <c r="P741" s="1501"/>
      <c r="Q741" s="1501"/>
      <c r="R741" s="1501"/>
      <c r="S741" s="1502"/>
      <c r="T741" s="1500"/>
      <c r="U741" s="1501"/>
      <c r="V741" s="1501"/>
      <c r="W741" s="1502"/>
      <c r="X741" s="1338">
        <f t="shared" si="8"/>
        <v>0</v>
      </c>
      <c r="Y741" s="1339"/>
      <c r="Z741" s="1339"/>
      <c r="AA741" s="1339"/>
      <c r="AB741" s="1340"/>
      <c r="AC741" s="1636"/>
      <c r="AD741" s="1637"/>
      <c r="AE741" s="1637"/>
      <c r="AF741" s="1637"/>
      <c r="AG741" s="1638"/>
      <c r="AH741" s="1400" t="str">
        <f t="shared" si="36"/>
        <v/>
      </c>
      <c r="AI741" s="1401"/>
      <c r="AJ741" s="1402"/>
      <c r="AK741" s="1397" t="s">
        <v>592</v>
      </c>
      <c r="AL741" s="1398"/>
      <c r="AM741" s="1398"/>
      <c r="AN741" s="1398"/>
      <c r="AO741" s="139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93">
        <f t="shared" si="37"/>
        <v>0</v>
      </c>
      <c r="CH741" s="1395"/>
      <c r="CI741" s="1377">
        <f t="shared" si="38"/>
        <v>0</v>
      </c>
      <c r="CJ741" s="1379"/>
      <c r="CK741" s="1393">
        <f t="shared" si="16"/>
        <v>0</v>
      </c>
      <c r="CL741" s="1395"/>
      <c r="CM741" s="1377">
        <f t="shared" si="17"/>
        <v>0</v>
      </c>
      <c r="CN741" s="1379"/>
      <c r="CO741" s="3"/>
      <c r="CP741" s="1374">
        <f t="shared" si="18"/>
        <v>0</v>
      </c>
      <c r="CQ741" s="1375"/>
      <c r="CR741" s="1375"/>
      <c r="CS741" s="1375"/>
      <c r="CT741" s="1376"/>
      <c r="CU741" s="1396">
        <f t="shared" si="19"/>
        <v>0</v>
      </c>
      <c r="CV741" s="1396"/>
      <c r="CW741" s="1396"/>
      <c r="CX741" s="1396"/>
      <c r="CY741" s="1396"/>
      <c r="CZ741" s="1396">
        <f t="shared" si="20"/>
        <v>0</v>
      </c>
      <c r="DA741" s="1396"/>
      <c r="DB741" s="1396"/>
      <c r="DC741" s="1396"/>
      <c r="DD741" s="1396"/>
      <c r="DE741" s="1396">
        <f t="shared" si="21"/>
        <v>0</v>
      </c>
      <c r="DF741" s="1396"/>
      <c r="DG741" s="1396"/>
      <c r="DH741" s="1396"/>
      <c r="DI741" s="1396"/>
      <c r="DJ741" s="1396">
        <f t="shared" si="22"/>
        <v>0</v>
      </c>
      <c r="DK741" s="1396"/>
      <c r="DL741" s="1396"/>
      <c r="DM741" s="1396"/>
      <c r="DN741" s="1396"/>
      <c r="DO741" s="1396">
        <f t="shared" si="23"/>
        <v>0</v>
      </c>
      <c r="DP741" s="1396"/>
      <c r="DQ741" s="1396"/>
      <c r="DR741" s="1396"/>
      <c r="DS741" s="1396"/>
      <c r="DT741" s="6"/>
      <c r="DU741" s="1407">
        <f t="shared" si="24"/>
        <v>0</v>
      </c>
      <c r="DV741" s="1407"/>
      <c r="DW741" s="1407"/>
      <c r="DX741" s="1407"/>
      <c r="DY741" s="1407"/>
      <c r="DZ741" s="1407">
        <f t="shared" si="25"/>
        <v>0</v>
      </c>
      <c r="EA741" s="1407"/>
      <c r="EB741" s="1407"/>
      <c r="EC741" s="1407"/>
      <c r="ED741" s="1407"/>
      <c r="EE741" s="1407">
        <f t="shared" si="26"/>
        <v>0</v>
      </c>
      <c r="EF741" s="1407"/>
      <c r="EG741" s="1407"/>
      <c r="EH741" s="1407"/>
      <c r="EI741" s="1407"/>
      <c r="EJ741" s="1407">
        <f t="shared" si="27"/>
        <v>0</v>
      </c>
      <c r="EK741" s="1407"/>
      <c r="EL741" s="1407"/>
      <c r="EM741" s="1407"/>
      <c r="EN741" s="1407"/>
      <c r="EO741" s="1407">
        <f t="shared" si="28"/>
        <v>0</v>
      </c>
      <c r="EP741" s="1407"/>
      <c r="EQ741" s="1407"/>
      <c r="ER741" s="1407"/>
      <c r="ES741" s="1407"/>
      <c r="ET741" s="1407">
        <f t="shared" si="29"/>
        <v>0</v>
      </c>
      <c r="EU741" s="1407"/>
      <c r="EV741" s="1407"/>
      <c r="EW741" s="1407"/>
      <c r="EX741" s="1407"/>
      <c r="EZ741" s="1393" t="str">
        <f t="shared" si="30"/>
        <v/>
      </c>
      <c r="FA741" s="1394"/>
      <c r="FB741" s="1394"/>
      <c r="FC741" s="1394"/>
      <c r="FD741" s="1395"/>
      <c r="FE741" s="1393" t="str">
        <f t="shared" si="31"/>
        <v/>
      </c>
      <c r="FF741" s="1394"/>
      <c r="FG741" s="1394"/>
      <c r="FH741" s="1394"/>
      <c r="FI741" s="1395"/>
      <c r="FJ741" s="1393" t="str">
        <f t="shared" si="32"/>
        <v/>
      </c>
      <c r="FK741" s="1394"/>
      <c r="FL741" s="1394"/>
      <c r="FM741" s="1394"/>
      <c r="FN741" s="1395"/>
      <c r="FO741" s="1393" t="str">
        <f t="shared" si="33"/>
        <v/>
      </c>
      <c r="FP741" s="1394"/>
      <c r="FQ741" s="1394"/>
      <c r="FR741" s="1394"/>
      <c r="FS741" s="1395"/>
      <c r="FT741" s="1393" t="str">
        <f t="shared" si="34"/>
        <v/>
      </c>
      <c r="FU741" s="1394"/>
      <c r="FV741" s="1394"/>
      <c r="FW741" s="1394"/>
      <c r="FX741" s="1395"/>
      <c r="FY741" s="1393" t="str">
        <f t="shared" si="35"/>
        <v/>
      </c>
      <c r="FZ741" s="1394"/>
      <c r="GA741" s="1394"/>
      <c r="GB741" s="1394"/>
      <c r="GC741" s="1395"/>
    </row>
    <row r="742" spans="1:185" ht="12.9" customHeight="1">
      <c r="B742" s="1397"/>
      <c r="C742" s="1398"/>
      <c r="D742" s="1398"/>
      <c r="E742" s="1398"/>
      <c r="F742" s="1399"/>
      <c r="G742" s="1403"/>
      <c r="H742" s="1404"/>
      <c r="I742" s="1404"/>
      <c r="J742" s="1405"/>
      <c r="K742" s="1622"/>
      <c r="L742" s="1623"/>
      <c r="M742" s="1623"/>
      <c r="N742" s="1624"/>
      <c r="O742" s="1500"/>
      <c r="P742" s="1501"/>
      <c r="Q742" s="1501"/>
      <c r="R742" s="1501"/>
      <c r="S742" s="1502"/>
      <c r="T742" s="1500"/>
      <c r="U742" s="1501"/>
      <c r="V742" s="1501"/>
      <c r="W742" s="1502"/>
      <c r="X742" s="1338">
        <f t="shared" ref="X742:X751" si="39">O742+T742</f>
        <v>0</v>
      </c>
      <c r="Y742" s="1339"/>
      <c r="Z742" s="1339"/>
      <c r="AA742" s="1339"/>
      <c r="AB742" s="1340"/>
      <c r="AC742" s="1636"/>
      <c r="AD742" s="1637"/>
      <c r="AE742" s="1637"/>
      <c r="AF742" s="1637"/>
      <c r="AG742" s="1638"/>
      <c r="AH742" s="1400" t="str">
        <f t="shared" si="36"/>
        <v/>
      </c>
      <c r="AI742" s="1401"/>
      <c r="AJ742" s="1402"/>
      <c r="AK742" s="1397" t="s">
        <v>592</v>
      </c>
      <c r="AL742" s="1398"/>
      <c r="AM742" s="1398"/>
      <c r="AN742" s="1398"/>
      <c r="AO742" s="139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93">
        <f t="shared" si="37"/>
        <v>0</v>
      </c>
      <c r="CH742" s="1395"/>
      <c r="CI742" s="1377">
        <f t="shared" si="38"/>
        <v>0</v>
      </c>
      <c r="CJ742" s="1379"/>
      <c r="CK742" s="1393">
        <f t="shared" si="16"/>
        <v>0</v>
      </c>
      <c r="CL742" s="1395"/>
      <c r="CM742" s="1377">
        <f t="shared" si="17"/>
        <v>0</v>
      </c>
      <c r="CN742" s="1379"/>
      <c r="CO742" s="3"/>
      <c r="CP742" s="1374">
        <f t="shared" si="18"/>
        <v>0</v>
      </c>
      <c r="CQ742" s="1375"/>
      <c r="CR742" s="1375"/>
      <c r="CS742" s="1375"/>
      <c r="CT742" s="1376"/>
      <c r="CU742" s="1396">
        <f t="shared" si="19"/>
        <v>0</v>
      </c>
      <c r="CV742" s="1396"/>
      <c r="CW742" s="1396"/>
      <c r="CX742" s="1396"/>
      <c r="CY742" s="1396"/>
      <c r="CZ742" s="1396">
        <f t="shared" si="20"/>
        <v>0</v>
      </c>
      <c r="DA742" s="1396"/>
      <c r="DB742" s="1396"/>
      <c r="DC742" s="1396"/>
      <c r="DD742" s="1396"/>
      <c r="DE742" s="1396">
        <f t="shared" si="21"/>
        <v>0</v>
      </c>
      <c r="DF742" s="1396"/>
      <c r="DG742" s="1396"/>
      <c r="DH742" s="1396"/>
      <c r="DI742" s="1396"/>
      <c r="DJ742" s="1396">
        <f t="shared" si="22"/>
        <v>0</v>
      </c>
      <c r="DK742" s="1396"/>
      <c r="DL742" s="1396"/>
      <c r="DM742" s="1396"/>
      <c r="DN742" s="1396"/>
      <c r="DO742" s="1396">
        <f t="shared" si="23"/>
        <v>0</v>
      </c>
      <c r="DP742" s="1396"/>
      <c r="DQ742" s="1396"/>
      <c r="DR742" s="1396"/>
      <c r="DS742" s="1396"/>
      <c r="DT742" s="6"/>
      <c r="DU742" s="1407">
        <f t="shared" si="24"/>
        <v>0</v>
      </c>
      <c r="DV742" s="1407"/>
      <c r="DW742" s="1407"/>
      <c r="DX742" s="1407"/>
      <c r="DY742" s="1407"/>
      <c r="DZ742" s="1407">
        <f t="shared" si="25"/>
        <v>0</v>
      </c>
      <c r="EA742" s="1407"/>
      <c r="EB742" s="1407"/>
      <c r="EC742" s="1407"/>
      <c r="ED742" s="1407"/>
      <c r="EE742" s="1407">
        <f t="shared" si="26"/>
        <v>0</v>
      </c>
      <c r="EF742" s="1407"/>
      <c r="EG742" s="1407"/>
      <c r="EH742" s="1407"/>
      <c r="EI742" s="1407"/>
      <c r="EJ742" s="1407">
        <f t="shared" si="27"/>
        <v>0</v>
      </c>
      <c r="EK742" s="1407"/>
      <c r="EL742" s="1407"/>
      <c r="EM742" s="1407"/>
      <c r="EN742" s="1407"/>
      <c r="EO742" s="1407">
        <f t="shared" si="28"/>
        <v>0</v>
      </c>
      <c r="EP742" s="1407"/>
      <c r="EQ742" s="1407"/>
      <c r="ER742" s="1407"/>
      <c r="ES742" s="1407"/>
      <c r="ET742" s="1407">
        <f t="shared" si="29"/>
        <v>0</v>
      </c>
      <c r="EU742" s="1407"/>
      <c r="EV742" s="1407"/>
      <c r="EW742" s="1407"/>
      <c r="EX742" s="1407"/>
      <c r="EZ742" s="1393" t="str">
        <f t="shared" si="30"/>
        <v/>
      </c>
      <c r="FA742" s="1394"/>
      <c r="FB742" s="1394"/>
      <c r="FC742" s="1394"/>
      <c r="FD742" s="1395"/>
      <c r="FE742" s="1393" t="str">
        <f t="shared" si="31"/>
        <v/>
      </c>
      <c r="FF742" s="1394"/>
      <c r="FG742" s="1394"/>
      <c r="FH742" s="1394"/>
      <c r="FI742" s="1395"/>
      <c r="FJ742" s="1393" t="str">
        <f t="shared" si="32"/>
        <v/>
      </c>
      <c r="FK742" s="1394"/>
      <c r="FL742" s="1394"/>
      <c r="FM742" s="1394"/>
      <c r="FN742" s="1395"/>
      <c r="FO742" s="1393" t="str">
        <f t="shared" si="33"/>
        <v/>
      </c>
      <c r="FP742" s="1394"/>
      <c r="FQ742" s="1394"/>
      <c r="FR742" s="1394"/>
      <c r="FS742" s="1395"/>
      <c r="FT742" s="1393" t="str">
        <f t="shared" si="34"/>
        <v/>
      </c>
      <c r="FU742" s="1394"/>
      <c r="FV742" s="1394"/>
      <c r="FW742" s="1394"/>
      <c r="FX742" s="1395"/>
      <c r="FY742" s="1393" t="str">
        <f t="shared" si="35"/>
        <v/>
      </c>
      <c r="FZ742" s="1394"/>
      <c r="GA742" s="1394"/>
      <c r="GB742" s="1394"/>
      <c r="GC742" s="1395"/>
    </row>
    <row r="743" spans="1:185" s="3" customFormat="1" ht="12.9" customHeight="1">
      <c r="A743"/>
      <c r="B743" s="1397"/>
      <c r="C743" s="1398"/>
      <c r="D743" s="1398"/>
      <c r="E743" s="1398"/>
      <c r="F743" s="1399"/>
      <c r="G743" s="1403"/>
      <c r="H743" s="1404"/>
      <c r="I743" s="1404"/>
      <c r="J743" s="1405"/>
      <c r="K743" s="1622"/>
      <c r="L743" s="1623"/>
      <c r="M743" s="1623"/>
      <c r="N743" s="1624"/>
      <c r="O743" s="1500"/>
      <c r="P743" s="1501"/>
      <c r="Q743" s="1501"/>
      <c r="R743" s="1501"/>
      <c r="S743" s="1502"/>
      <c r="T743" s="1500"/>
      <c r="U743" s="1501"/>
      <c r="V743" s="1501"/>
      <c r="W743" s="1502"/>
      <c r="X743" s="1338">
        <f t="shared" si="39"/>
        <v>0</v>
      </c>
      <c r="Y743" s="1339"/>
      <c r="Z743" s="1339"/>
      <c r="AA743" s="1339"/>
      <c r="AB743" s="1340"/>
      <c r="AC743" s="1636"/>
      <c r="AD743" s="1637"/>
      <c r="AE743" s="1637"/>
      <c r="AF743" s="1637"/>
      <c r="AG743" s="1638"/>
      <c r="AH743" s="1400" t="str">
        <f t="shared" si="36"/>
        <v/>
      </c>
      <c r="AI743" s="1401"/>
      <c r="AJ743" s="1402"/>
      <c r="AK743" s="1397" t="s">
        <v>592</v>
      </c>
      <c r="AL743" s="1398"/>
      <c r="AM743" s="1398"/>
      <c r="AN743" s="1398"/>
      <c r="AO743" s="139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93">
        <f t="shared" si="37"/>
        <v>0</v>
      </c>
      <c r="CH743" s="1395"/>
      <c r="CI743" s="1377">
        <f t="shared" si="38"/>
        <v>0</v>
      </c>
      <c r="CJ743" s="1379"/>
      <c r="CK743" s="1393">
        <f t="shared" si="16"/>
        <v>0</v>
      </c>
      <c r="CL743" s="1395"/>
      <c r="CM743" s="1377">
        <f t="shared" si="17"/>
        <v>0</v>
      </c>
      <c r="CN743" s="1379"/>
      <c r="CP743" s="1374">
        <f t="shared" si="18"/>
        <v>0</v>
      </c>
      <c r="CQ743" s="1375"/>
      <c r="CR743" s="1375"/>
      <c r="CS743" s="1375"/>
      <c r="CT743" s="1376"/>
      <c r="CU743" s="1396">
        <f t="shared" si="19"/>
        <v>0</v>
      </c>
      <c r="CV743" s="1396"/>
      <c r="CW743" s="1396"/>
      <c r="CX743" s="1396"/>
      <c r="CY743" s="1396"/>
      <c r="CZ743" s="1396">
        <f t="shared" si="20"/>
        <v>0</v>
      </c>
      <c r="DA743" s="1396"/>
      <c r="DB743" s="1396"/>
      <c r="DC743" s="1396"/>
      <c r="DD743" s="1396"/>
      <c r="DE743" s="1396">
        <f t="shared" si="21"/>
        <v>0</v>
      </c>
      <c r="DF743" s="1396"/>
      <c r="DG743" s="1396"/>
      <c r="DH743" s="1396"/>
      <c r="DI743" s="1396"/>
      <c r="DJ743" s="1396">
        <f t="shared" si="22"/>
        <v>0</v>
      </c>
      <c r="DK743" s="1396"/>
      <c r="DL743" s="1396"/>
      <c r="DM743" s="1396"/>
      <c r="DN743" s="1396"/>
      <c r="DO743" s="1396">
        <f t="shared" si="23"/>
        <v>0</v>
      </c>
      <c r="DP743" s="1396"/>
      <c r="DQ743" s="1396"/>
      <c r="DR743" s="1396"/>
      <c r="DS743" s="1396"/>
      <c r="DT743" s="6"/>
      <c r="DU743" s="1407">
        <f t="shared" si="24"/>
        <v>0</v>
      </c>
      <c r="DV743" s="1407"/>
      <c r="DW743" s="1407"/>
      <c r="DX743" s="1407"/>
      <c r="DY743" s="1407"/>
      <c r="DZ743" s="1407">
        <f t="shared" si="25"/>
        <v>0</v>
      </c>
      <c r="EA743" s="1407"/>
      <c r="EB743" s="1407"/>
      <c r="EC743" s="1407"/>
      <c r="ED743" s="1407"/>
      <c r="EE743" s="1407">
        <f t="shared" si="26"/>
        <v>0</v>
      </c>
      <c r="EF743" s="1407"/>
      <c r="EG743" s="1407"/>
      <c r="EH743" s="1407"/>
      <c r="EI743" s="1407"/>
      <c r="EJ743" s="1407">
        <f t="shared" si="27"/>
        <v>0</v>
      </c>
      <c r="EK743" s="1407"/>
      <c r="EL743" s="1407"/>
      <c r="EM743" s="1407"/>
      <c r="EN743" s="1407"/>
      <c r="EO743" s="1407">
        <f t="shared" si="28"/>
        <v>0</v>
      </c>
      <c r="EP743" s="1407"/>
      <c r="EQ743" s="1407"/>
      <c r="ER743" s="1407"/>
      <c r="ES743" s="1407"/>
      <c r="ET743" s="1407">
        <f t="shared" si="29"/>
        <v>0</v>
      </c>
      <c r="EU743" s="1407"/>
      <c r="EV743" s="1407"/>
      <c r="EW743" s="1407"/>
      <c r="EX743" s="1407"/>
      <c r="EY743"/>
      <c r="EZ743" s="1393" t="str">
        <f t="shared" si="30"/>
        <v/>
      </c>
      <c r="FA743" s="1394"/>
      <c r="FB743" s="1394"/>
      <c r="FC743" s="1394"/>
      <c r="FD743" s="1395"/>
      <c r="FE743" s="1393" t="str">
        <f t="shared" si="31"/>
        <v/>
      </c>
      <c r="FF743" s="1394"/>
      <c r="FG743" s="1394"/>
      <c r="FH743" s="1394"/>
      <c r="FI743" s="1395"/>
      <c r="FJ743" s="1393" t="str">
        <f t="shared" si="32"/>
        <v/>
      </c>
      <c r="FK743" s="1394"/>
      <c r="FL743" s="1394"/>
      <c r="FM743" s="1394"/>
      <c r="FN743" s="1395"/>
      <c r="FO743" s="1393" t="str">
        <f t="shared" si="33"/>
        <v/>
      </c>
      <c r="FP743" s="1394"/>
      <c r="FQ743" s="1394"/>
      <c r="FR743" s="1394"/>
      <c r="FS743" s="1395"/>
      <c r="FT743" s="1393" t="str">
        <f t="shared" si="34"/>
        <v/>
      </c>
      <c r="FU743" s="1394"/>
      <c r="FV743" s="1394"/>
      <c r="FW743" s="1394"/>
      <c r="FX743" s="1395"/>
      <c r="FY743" s="1393" t="str">
        <f t="shared" si="35"/>
        <v/>
      </c>
      <c r="FZ743" s="1394"/>
      <c r="GA743" s="1394"/>
      <c r="GB743" s="1394"/>
      <c r="GC743" s="1395"/>
    </row>
    <row r="744" spans="1:185" ht="12.9" customHeight="1">
      <c r="B744" s="1397"/>
      <c r="C744" s="1398"/>
      <c r="D744" s="1398"/>
      <c r="E744" s="1398"/>
      <c r="F744" s="1399"/>
      <c r="G744" s="1403"/>
      <c r="H744" s="1404"/>
      <c r="I744" s="1404"/>
      <c r="J744" s="1405"/>
      <c r="K744" s="1622"/>
      <c r="L744" s="1623"/>
      <c r="M744" s="1623"/>
      <c r="N744" s="1624"/>
      <c r="O744" s="1500"/>
      <c r="P744" s="1501"/>
      <c r="Q744" s="1501"/>
      <c r="R744" s="1501"/>
      <c r="S744" s="1502"/>
      <c r="T744" s="1500"/>
      <c r="U744" s="1501"/>
      <c r="V744" s="1501"/>
      <c r="W744" s="1502"/>
      <c r="X744" s="1338">
        <f t="shared" si="39"/>
        <v>0</v>
      </c>
      <c r="Y744" s="1339"/>
      <c r="Z744" s="1339"/>
      <c r="AA744" s="1339"/>
      <c r="AB744" s="1340"/>
      <c r="AC744" s="1636"/>
      <c r="AD744" s="1637"/>
      <c r="AE744" s="1637"/>
      <c r="AF744" s="1637"/>
      <c r="AG744" s="1638"/>
      <c r="AH744" s="1400" t="str">
        <f t="shared" si="36"/>
        <v/>
      </c>
      <c r="AI744" s="1401"/>
      <c r="AJ744" s="1402"/>
      <c r="AK744" s="1397" t="s">
        <v>592</v>
      </c>
      <c r="AL744" s="1398"/>
      <c r="AM744" s="1398"/>
      <c r="AN744" s="1398"/>
      <c r="AO744" s="139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93">
        <f t="shared" si="37"/>
        <v>0</v>
      </c>
      <c r="CH744" s="1395"/>
      <c r="CI744" s="1377">
        <f t="shared" si="38"/>
        <v>0</v>
      </c>
      <c r="CJ744" s="1379"/>
      <c r="CK744" s="1393">
        <f t="shared" si="16"/>
        <v>0</v>
      </c>
      <c r="CL744" s="1395"/>
      <c r="CM744" s="1377">
        <f t="shared" si="17"/>
        <v>0</v>
      </c>
      <c r="CN744" s="1379"/>
      <c r="CO744" s="3"/>
      <c r="CP744" s="1374">
        <f t="shared" si="18"/>
        <v>0</v>
      </c>
      <c r="CQ744" s="1375"/>
      <c r="CR744" s="1375"/>
      <c r="CS744" s="1375"/>
      <c r="CT744" s="1376"/>
      <c r="CU744" s="1396">
        <f t="shared" si="19"/>
        <v>0</v>
      </c>
      <c r="CV744" s="1396"/>
      <c r="CW744" s="1396"/>
      <c r="CX744" s="1396"/>
      <c r="CY744" s="1396"/>
      <c r="CZ744" s="1396">
        <f t="shared" si="20"/>
        <v>0</v>
      </c>
      <c r="DA744" s="1396"/>
      <c r="DB744" s="1396"/>
      <c r="DC744" s="1396"/>
      <c r="DD744" s="1396"/>
      <c r="DE744" s="1396">
        <f t="shared" si="21"/>
        <v>0</v>
      </c>
      <c r="DF744" s="1396"/>
      <c r="DG744" s="1396"/>
      <c r="DH744" s="1396"/>
      <c r="DI744" s="1396"/>
      <c r="DJ744" s="1396">
        <f t="shared" si="22"/>
        <v>0</v>
      </c>
      <c r="DK744" s="1396"/>
      <c r="DL744" s="1396"/>
      <c r="DM744" s="1396"/>
      <c r="DN744" s="1396"/>
      <c r="DO744" s="1396">
        <f t="shared" si="23"/>
        <v>0</v>
      </c>
      <c r="DP744" s="1396"/>
      <c r="DQ744" s="1396"/>
      <c r="DR744" s="1396"/>
      <c r="DS744" s="1396"/>
      <c r="DT744" s="6"/>
      <c r="DU744" s="1407">
        <f t="shared" si="24"/>
        <v>0</v>
      </c>
      <c r="DV744" s="1407"/>
      <c r="DW744" s="1407"/>
      <c r="DX744" s="1407"/>
      <c r="DY744" s="1407"/>
      <c r="DZ744" s="1407">
        <f t="shared" si="25"/>
        <v>0</v>
      </c>
      <c r="EA744" s="1407"/>
      <c r="EB744" s="1407"/>
      <c r="EC744" s="1407"/>
      <c r="ED744" s="1407"/>
      <c r="EE744" s="1407">
        <f t="shared" si="26"/>
        <v>0</v>
      </c>
      <c r="EF744" s="1407"/>
      <c r="EG744" s="1407"/>
      <c r="EH744" s="1407"/>
      <c r="EI744" s="1407"/>
      <c r="EJ744" s="1407">
        <f t="shared" si="27"/>
        <v>0</v>
      </c>
      <c r="EK744" s="1407"/>
      <c r="EL744" s="1407"/>
      <c r="EM744" s="1407"/>
      <c r="EN744" s="1407"/>
      <c r="EO744" s="1407">
        <f t="shared" si="28"/>
        <v>0</v>
      </c>
      <c r="EP744" s="1407"/>
      <c r="EQ744" s="1407"/>
      <c r="ER744" s="1407"/>
      <c r="ES744" s="1407"/>
      <c r="ET744" s="1407">
        <f t="shared" si="29"/>
        <v>0</v>
      </c>
      <c r="EU744" s="1407"/>
      <c r="EV744" s="1407"/>
      <c r="EW744" s="1407"/>
      <c r="EX744" s="1407"/>
      <c r="EZ744" s="1393" t="str">
        <f t="shared" si="30"/>
        <v/>
      </c>
      <c r="FA744" s="1394"/>
      <c r="FB744" s="1394"/>
      <c r="FC744" s="1394"/>
      <c r="FD744" s="1395"/>
      <c r="FE744" s="1393" t="str">
        <f t="shared" si="31"/>
        <v/>
      </c>
      <c r="FF744" s="1394"/>
      <c r="FG744" s="1394"/>
      <c r="FH744" s="1394"/>
      <c r="FI744" s="1395"/>
      <c r="FJ744" s="1393" t="str">
        <f t="shared" si="32"/>
        <v/>
      </c>
      <c r="FK744" s="1394"/>
      <c r="FL744" s="1394"/>
      <c r="FM744" s="1394"/>
      <c r="FN744" s="1395"/>
      <c r="FO744" s="1393" t="str">
        <f t="shared" si="33"/>
        <v/>
      </c>
      <c r="FP744" s="1394"/>
      <c r="FQ744" s="1394"/>
      <c r="FR744" s="1394"/>
      <c r="FS744" s="1395"/>
      <c r="FT744" s="1393" t="str">
        <f t="shared" si="34"/>
        <v/>
      </c>
      <c r="FU744" s="1394"/>
      <c r="FV744" s="1394"/>
      <c r="FW744" s="1394"/>
      <c r="FX744" s="1395"/>
      <c r="FY744" s="1393" t="str">
        <f t="shared" si="35"/>
        <v/>
      </c>
      <c r="FZ744" s="1394"/>
      <c r="GA744" s="1394"/>
      <c r="GB744" s="1394"/>
      <c r="GC744" s="1395"/>
    </row>
    <row r="745" spans="1:185" ht="12.9" customHeight="1">
      <c r="B745" s="1397"/>
      <c r="C745" s="1398"/>
      <c r="D745" s="1398"/>
      <c r="E745" s="1398"/>
      <c r="F745" s="1399"/>
      <c r="G745" s="1403"/>
      <c r="H745" s="1404"/>
      <c r="I745" s="1404"/>
      <c r="J745" s="1405"/>
      <c r="K745" s="1622"/>
      <c r="L745" s="1623"/>
      <c r="M745" s="1623"/>
      <c r="N745" s="1624"/>
      <c r="O745" s="1500"/>
      <c r="P745" s="1501"/>
      <c r="Q745" s="1501"/>
      <c r="R745" s="1501"/>
      <c r="S745" s="1502"/>
      <c r="T745" s="1500"/>
      <c r="U745" s="1501"/>
      <c r="V745" s="1501"/>
      <c r="W745" s="1502"/>
      <c r="X745" s="1338">
        <f t="shared" si="39"/>
        <v>0</v>
      </c>
      <c r="Y745" s="1339"/>
      <c r="Z745" s="1339"/>
      <c r="AA745" s="1339"/>
      <c r="AB745" s="1340"/>
      <c r="AC745" s="1636"/>
      <c r="AD745" s="1637"/>
      <c r="AE745" s="1637"/>
      <c r="AF745" s="1637"/>
      <c r="AG745" s="1638"/>
      <c r="AH745" s="1400" t="str">
        <f t="shared" si="36"/>
        <v/>
      </c>
      <c r="AI745" s="1401"/>
      <c r="AJ745" s="1402"/>
      <c r="AK745" s="1397" t="s">
        <v>592</v>
      </c>
      <c r="AL745" s="1398"/>
      <c r="AM745" s="1398"/>
      <c r="AN745" s="1398"/>
      <c r="AO745" s="139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93">
        <f t="shared" si="37"/>
        <v>0</v>
      </c>
      <c r="CH745" s="1395"/>
      <c r="CI745" s="1377">
        <f t="shared" si="38"/>
        <v>0</v>
      </c>
      <c r="CJ745" s="1379"/>
      <c r="CK745" s="1393">
        <f t="shared" si="16"/>
        <v>0</v>
      </c>
      <c r="CL745" s="1395"/>
      <c r="CM745" s="1377">
        <f t="shared" si="17"/>
        <v>0</v>
      </c>
      <c r="CN745" s="1379"/>
      <c r="CO745" s="3"/>
      <c r="CP745" s="1374">
        <f t="shared" si="18"/>
        <v>0</v>
      </c>
      <c r="CQ745" s="1375"/>
      <c r="CR745" s="1375"/>
      <c r="CS745" s="1375"/>
      <c r="CT745" s="1376"/>
      <c r="CU745" s="1396">
        <f t="shared" si="19"/>
        <v>0</v>
      </c>
      <c r="CV745" s="1396"/>
      <c r="CW745" s="1396"/>
      <c r="CX745" s="1396"/>
      <c r="CY745" s="1396"/>
      <c r="CZ745" s="1396">
        <f t="shared" si="20"/>
        <v>0</v>
      </c>
      <c r="DA745" s="1396"/>
      <c r="DB745" s="1396"/>
      <c r="DC745" s="1396"/>
      <c r="DD745" s="1396"/>
      <c r="DE745" s="1396">
        <f t="shared" si="21"/>
        <v>0</v>
      </c>
      <c r="DF745" s="1396"/>
      <c r="DG745" s="1396"/>
      <c r="DH745" s="1396"/>
      <c r="DI745" s="1396"/>
      <c r="DJ745" s="1396">
        <f t="shared" si="22"/>
        <v>0</v>
      </c>
      <c r="DK745" s="1396"/>
      <c r="DL745" s="1396"/>
      <c r="DM745" s="1396"/>
      <c r="DN745" s="1396"/>
      <c r="DO745" s="1396">
        <f t="shared" si="23"/>
        <v>0</v>
      </c>
      <c r="DP745" s="1396"/>
      <c r="DQ745" s="1396"/>
      <c r="DR745" s="1396"/>
      <c r="DS745" s="1396"/>
      <c r="DT745" s="6"/>
      <c r="DU745" s="1407">
        <f t="shared" si="24"/>
        <v>0</v>
      </c>
      <c r="DV745" s="1407"/>
      <c r="DW745" s="1407"/>
      <c r="DX745" s="1407"/>
      <c r="DY745" s="1407"/>
      <c r="DZ745" s="1407">
        <f t="shared" si="25"/>
        <v>0</v>
      </c>
      <c r="EA745" s="1407"/>
      <c r="EB745" s="1407"/>
      <c r="EC745" s="1407"/>
      <c r="ED745" s="1407"/>
      <c r="EE745" s="1407">
        <f t="shared" si="26"/>
        <v>0</v>
      </c>
      <c r="EF745" s="1407"/>
      <c r="EG745" s="1407"/>
      <c r="EH745" s="1407"/>
      <c r="EI745" s="1407"/>
      <c r="EJ745" s="1407">
        <f t="shared" si="27"/>
        <v>0</v>
      </c>
      <c r="EK745" s="1407"/>
      <c r="EL745" s="1407"/>
      <c r="EM745" s="1407"/>
      <c r="EN745" s="1407"/>
      <c r="EO745" s="1407">
        <f t="shared" si="28"/>
        <v>0</v>
      </c>
      <c r="EP745" s="1407"/>
      <c r="EQ745" s="1407"/>
      <c r="ER745" s="1407"/>
      <c r="ES745" s="1407"/>
      <c r="ET745" s="1407">
        <f t="shared" si="29"/>
        <v>0</v>
      </c>
      <c r="EU745" s="1407"/>
      <c r="EV745" s="1407"/>
      <c r="EW745" s="1407"/>
      <c r="EX745" s="1407"/>
      <c r="EZ745" s="1393" t="str">
        <f t="shared" si="30"/>
        <v/>
      </c>
      <c r="FA745" s="1394"/>
      <c r="FB745" s="1394"/>
      <c r="FC745" s="1394"/>
      <c r="FD745" s="1395"/>
      <c r="FE745" s="1393" t="str">
        <f t="shared" si="31"/>
        <v/>
      </c>
      <c r="FF745" s="1394"/>
      <c r="FG745" s="1394"/>
      <c r="FH745" s="1394"/>
      <c r="FI745" s="1395"/>
      <c r="FJ745" s="1393" t="str">
        <f t="shared" si="32"/>
        <v/>
      </c>
      <c r="FK745" s="1394"/>
      <c r="FL745" s="1394"/>
      <c r="FM745" s="1394"/>
      <c r="FN745" s="1395"/>
      <c r="FO745" s="1393" t="str">
        <f t="shared" si="33"/>
        <v/>
      </c>
      <c r="FP745" s="1394"/>
      <c r="FQ745" s="1394"/>
      <c r="FR745" s="1394"/>
      <c r="FS745" s="1395"/>
      <c r="FT745" s="1393" t="str">
        <f t="shared" si="34"/>
        <v/>
      </c>
      <c r="FU745" s="1394"/>
      <c r="FV745" s="1394"/>
      <c r="FW745" s="1394"/>
      <c r="FX745" s="1395"/>
      <c r="FY745" s="1393" t="str">
        <f t="shared" si="35"/>
        <v/>
      </c>
      <c r="FZ745" s="1394"/>
      <c r="GA745" s="1394"/>
      <c r="GB745" s="1394"/>
      <c r="GC745" s="1395"/>
    </row>
    <row r="746" spans="1:185" ht="12.9" customHeight="1">
      <c r="B746" s="1397"/>
      <c r="C746" s="1398"/>
      <c r="D746" s="1398"/>
      <c r="E746" s="1398"/>
      <c r="F746" s="1399"/>
      <c r="G746" s="1403"/>
      <c r="H746" s="1404"/>
      <c r="I746" s="1404"/>
      <c r="J746" s="1405"/>
      <c r="K746" s="1622"/>
      <c r="L746" s="1623"/>
      <c r="M746" s="1623"/>
      <c r="N746" s="1624"/>
      <c r="O746" s="1500"/>
      <c r="P746" s="1501"/>
      <c r="Q746" s="1501"/>
      <c r="R746" s="1501"/>
      <c r="S746" s="1502"/>
      <c r="T746" s="1500"/>
      <c r="U746" s="1501"/>
      <c r="V746" s="1501"/>
      <c r="W746" s="1502"/>
      <c r="X746" s="1338">
        <f t="shared" si="39"/>
        <v>0</v>
      </c>
      <c r="Y746" s="1339"/>
      <c r="Z746" s="1339"/>
      <c r="AA746" s="1339"/>
      <c r="AB746" s="1340"/>
      <c r="AC746" s="1636"/>
      <c r="AD746" s="1637"/>
      <c r="AE746" s="1637"/>
      <c r="AF746" s="1637"/>
      <c r="AG746" s="1638"/>
      <c r="AH746" s="1400" t="str">
        <f t="shared" si="36"/>
        <v/>
      </c>
      <c r="AI746" s="1401"/>
      <c r="AJ746" s="1402"/>
      <c r="AK746" s="1397" t="s">
        <v>592</v>
      </c>
      <c r="AL746" s="1398"/>
      <c r="AM746" s="1398"/>
      <c r="AN746" s="1398"/>
      <c r="AO746" s="139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93">
        <f t="shared" si="37"/>
        <v>0</v>
      </c>
      <c r="CH746" s="1395"/>
      <c r="CI746" s="1377">
        <f t="shared" si="38"/>
        <v>0</v>
      </c>
      <c r="CJ746" s="1379"/>
      <c r="CK746" s="1393">
        <f t="shared" si="16"/>
        <v>0</v>
      </c>
      <c r="CL746" s="1395"/>
      <c r="CM746" s="1377">
        <f t="shared" si="17"/>
        <v>0</v>
      </c>
      <c r="CN746" s="1379"/>
      <c r="CO746" s="3"/>
      <c r="CP746" s="1374">
        <f t="shared" si="18"/>
        <v>0</v>
      </c>
      <c r="CQ746" s="1375"/>
      <c r="CR746" s="1375"/>
      <c r="CS746" s="1375"/>
      <c r="CT746" s="1376"/>
      <c r="CU746" s="1396">
        <f t="shared" si="19"/>
        <v>0</v>
      </c>
      <c r="CV746" s="1396"/>
      <c r="CW746" s="1396"/>
      <c r="CX746" s="1396"/>
      <c r="CY746" s="1396"/>
      <c r="CZ746" s="1396">
        <f t="shared" si="20"/>
        <v>0</v>
      </c>
      <c r="DA746" s="1396"/>
      <c r="DB746" s="1396"/>
      <c r="DC746" s="1396"/>
      <c r="DD746" s="1396"/>
      <c r="DE746" s="1396">
        <f t="shared" si="21"/>
        <v>0</v>
      </c>
      <c r="DF746" s="1396"/>
      <c r="DG746" s="1396"/>
      <c r="DH746" s="1396"/>
      <c r="DI746" s="1396"/>
      <c r="DJ746" s="1396">
        <f t="shared" si="22"/>
        <v>0</v>
      </c>
      <c r="DK746" s="1396"/>
      <c r="DL746" s="1396"/>
      <c r="DM746" s="1396"/>
      <c r="DN746" s="1396"/>
      <c r="DO746" s="1396">
        <f t="shared" si="23"/>
        <v>0</v>
      </c>
      <c r="DP746" s="1396"/>
      <c r="DQ746" s="1396"/>
      <c r="DR746" s="1396"/>
      <c r="DS746" s="1396"/>
      <c r="DT746" s="6"/>
      <c r="DU746" s="1407">
        <f t="shared" si="24"/>
        <v>0</v>
      </c>
      <c r="DV746" s="1407"/>
      <c r="DW746" s="1407"/>
      <c r="DX746" s="1407"/>
      <c r="DY746" s="1407"/>
      <c r="DZ746" s="1407">
        <f t="shared" si="25"/>
        <v>0</v>
      </c>
      <c r="EA746" s="1407"/>
      <c r="EB746" s="1407"/>
      <c r="EC746" s="1407"/>
      <c r="ED746" s="1407"/>
      <c r="EE746" s="1407">
        <f t="shared" si="26"/>
        <v>0</v>
      </c>
      <c r="EF746" s="1407"/>
      <c r="EG746" s="1407"/>
      <c r="EH746" s="1407"/>
      <c r="EI746" s="1407"/>
      <c r="EJ746" s="1407">
        <f t="shared" si="27"/>
        <v>0</v>
      </c>
      <c r="EK746" s="1407"/>
      <c r="EL746" s="1407"/>
      <c r="EM746" s="1407"/>
      <c r="EN746" s="1407"/>
      <c r="EO746" s="1407">
        <f t="shared" si="28"/>
        <v>0</v>
      </c>
      <c r="EP746" s="1407"/>
      <c r="EQ746" s="1407"/>
      <c r="ER746" s="1407"/>
      <c r="ES746" s="1407"/>
      <c r="ET746" s="1407">
        <f t="shared" si="29"/>
        <v>0</v>
      </c>
      <c r="EU746" s="1407"/>
      <c r="EV746" s="1407"/>
      <c r="EW746" s="1407"/>
      <c r="EX746" s="1407"/>
      <c r="EZ746" s="1393" t="str">
        <f t="shared" si="30"/>
        <v/>
      </c>
      <c r="FA746" s="1394"/>
      <c r="FB746" s="1394"/>
      <c r="FC746" s="1394"/>
      <c r="FD746" s="1395"/>
      <c r="FE746" s="1393" t="str">
        <f t="shared" si="31"/>
        <v/>
      </c>
      <c r="FF746" s="1394"/>
      <c r="FG746" s="1394"/>
      <c r="FH746" s="1394"/>
      <c r="FI746" s="1395"/>
      <c r="FJ746" s="1393" t="str">
        <f t="shared" si="32"/>
        <v/>
      </c>
      <c r="FK746" s="1394"/>
      <c r="FL746" s="1394"/>
      <c r="FM746" s="1394"/>
      <c r="FN746" s="1395"/>
      <c r="FO746" s="1393" t="str">
        <f t="shared" si="33"/>
        <v/>
      </c>
      <c r="FP746" s="1394"/>
      <c r="FQ746" s="1394"/>
      <c r="FR746" s="1394"/>
      <c r="FS746" s="1395"/>
      <c r="FT746" s="1393" t="str">
        <f t="shared" si="34"/>
        <v/>
      </c>
      <c r="FU746" s="1394"/>
      <c r="FV746" s="1394"/>
      <c r="FW746" s="1394"/>
      <c r="FX746" s="1395"/>
      <c r="FY746" s="1393" t="str">
        <f t="shared" si="35"/>
        <v/>
      </c>
      <c r="FZ746" s="1394"/>
      <c r="GA746" s="1394"/>
      <c r="GB746" s="1394"/>
      <c r="GC746" s="1395"/>
    </row>
    <row r="747" spans="1:185" ht="12.9" customHeight="1">
      <c r="B747" s="1397"/>
      <c r="C747" s="1398"/>
      <c r="D747" s="1398"/>
      <c r="E747" s="1398"/>
      <c r="F747" s="1399"/>
      <c r="G747" s="1403"/>
      <c r="H747" s="1404"/>
      <c r="I747" s="1404"/>
      <c r="J747" s="1405"/>
      <c r="K747" s="1622"/>
      <c r="L747" s="1623"/>
      <c r="M747" s="1623"/>
      <c r="N747" s="1624"/>
      <c r="O747" s="1500"/>
      <c r="P747" s="1501"/>
      <c r="Q747" s="1501"/>
      <c r="R747" s="1501"/>
      <c r="S747" s="1502"/>
      <c r="T747" s="1500"/>
      <c r="U747" s="1501"/>
      <c r="V747" s="1501"/>
      <c r="W747" s="1502"/>
      <c r="X747" s="1338">
        <f t="shared" si="39"/>
        <v>0</v>
      </c>
      <c r="Y747" s="1339"/>
      <c r="Z747" s="1339"/>
      <c r="AA747" s="1339"/>
      <c r="AB747" s="1340"/>
      <c r="AC747" s="1636"/>
      <c r="AD747" s="1637"/>
      <c r="AE747" s="1637"/>
      <c r="AF747" s="1637"/>
      <c r="AG747" s="1638"/>
      <c r="AH747" s="1400" t="str">
        <f t="shared" si="36"/>
        <v/>
      </c>
      <c r="AI747" s="1401"/>
      <c r="AJ747" s="1402"/>
      <c r="AK747" s="1397" t="s">
        <v>592</v>
      </c>
      <c r="AL747" s="1398"/>
      <c r="AM747" s="1398"/>
      <c r="AN747" s="1398"/>
      <c r="AO747" s="139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93">
        <f t="shared" si="37"/>
        <v>0</v>
      </c>
      <c r="CH747" s="1395"/>
      <c r="CI747" s="1377">
        <f t="shared" si="38"/>
        <v>0</v>
      </c>
      <c r="CJ747" s="1379"/>
      <c r="CK747" s="1393">
        <f t="shared" si="16"/>
        <v>0</v>
      </c>
      <c r="CL747" s="1395"/>
      <c r="CM747" s="1377">
        <f t="shared" si="17"/>
        <v>0</v>
      </c>
      <c r="CN747" s="1379"/>
      <c r="CO747" s="3"/>
      <c r="CP747" s="1374">
        <f t="shared" si="18"/>
        <v>0</v>
      </c>
      <c r="CQ747" s="1375"/>
      <c r="CR747" s="1375"/>
      <c r="CS747" s="1375"/>
      <c r="CT747" s="1376"/>
      <c r="CU747" s="1396">
        <f t="shared" si="19"/>
        <v>0</v>
      </c>
      <c r="CV747" s="1396"/>
      <c r="CW747" s="1396"/>
      <c r="CX747" s="1396"/>
      <c r="CY747" s="1396"/>
      <c r="CZ747" s="1396">
        <f t="shared" si="20"/>
        <v>0</v>
      </c>
      <c r="DA747" s="1396"/>
      <c r="DB747" s="1396"/>
      <c r="DC747" s="1396"/>
      <c r="DD747" s="1396"/>
      <c r="DE747" s="1396">
        <f t="shared" si="21"/>
        <v>0</v>
      </c>
      <c r="DF747" s="1396"/>
      <c r="DG747" s="1396"/>
      <c r="DH747" s="1396"/>
      <c r="DI747" s="1396"/>
      <c r="DJ747" s="1396">
        <f t="shared" si="22"/>
        <v>0</v>
      </c>
      <c r="DK747" s="1396"/>
      <c r="DL747" s="1396"/>
      <c r="DM747" s="1396"/>
      <c r="DN747" s="1396"/>
      <c r="DO747" s="1396">
        <f t="shared" si="23"/>
        <v>0</v>
      </c>
      <c r="DP747" s="1396"/>
      <c r="DQ747" s="1396"/>
      <c r="DR747" s="1396"/>
      <c r="DS747" s="1396"/>
      <c r="DT747" s="6"/>
      <c r="DU747" s="1407">
        <f t="shared" si="24"/>
        <v>0</v>
      </c>
      <c r="DV747" s="1407"/>
      <c r="DW747" s="1407"/>
      <c r="DX747" s="1407"/>
      <c r="DY747" s="1407"/>
      <c r="DZ747" s="1407">
        <f t="shared" si="25"/>
        <v>0</v>
      </c>
      <c r="EA747" s="1407"/>
      <c r="EB747" s="1407"/>
      <c r="EC747" s="1407"/>
      <c r="ED747" s="1407"/>
      <c r="EE747" s="1407">
        <f t="shared" si="26"/>
        <v>0</v>
      </c>
      <c r="EF747" s="1407"/>
      <c r="EG747" s="1407"/>
      <c r="EH747" s="1407"/>
      <c r="EI747" s="1407"/>
      <c r="EJ747" s="1407">
        <f t="shared" si="27"/>
        <v>0</v>
      </c>
      <c r="EK747" s="1407"/>
      <c r="EL747" s="1407"/>
      <c r="EM747" s="1407"/>
      <c r="EN747" s="1407"/>
      <c r="EO747" s="1407">
        <f t="shared" si="28"/>
        <v>0</v>
      </c>
      <c r="EP747" s="1407"/>
      <c r="EQ747" s="1407"/>
      <c r="ER747" s="1407"/>
      <c r="ES747" s="1407"/>
      <c r="ET747" s="1407">
        <f t="shared" si="29"/>
        <v>0</v>
      </c>
      <c r="EU747" s="1407"/>
      <c r="EV747" s="1407"/>
      <c r="EW747" s="1407"/>
      <c r="EX747" s="1407"/>
      <c r="EZ747" s="1393" t="str">
        <f t="shared" si="30"/>
        <v/>
      </c>
      <c r="FA747" s="1394"/>
      <c r="FB747" s="1394"/>
      <c r="FC747" s="1394"/>
      <c r="FD747" s="1395"/>
      <c r="FE747" s="1393" t="str">
        <f t="shared" si="31"/>
        <v/>
      </c>
      <c r="FF747" s="1394"/>
      <c r="FG747" s="1394"/>
      <c r="FH747" s="1394"/>
      <c r="FI747" s="1395"/>
      <c r="FJ747" s="1393" t="str">
        <f t="shared" si="32"/>
        <v/>
      </c>
      <c r="FK747" s="1394"/>
      <c r="FL747" s="1394"/>
      <c r="FM747" s="1394"/>
      <c r="FN747" s="1395"/>
      <c r="FO747" s="1393" t="str">
        <f t="shared" si="33"/>
        <v/>
      </c>
      <c r="FP747" s="1394"/>
      <c r="FQ747" s="1394"/>
      <c r="FR747" s="1394"/>
      <c r="FS747" s="1395"/>
      <c r="FT747" s="1393" t="str">
        <f t="shared" si="34"/>
        <v/>
      </c>
      <c r="FU747" s="1394"/>
      <c r="FV747" s="1394"/>
      <c r="FW747" s="1394"/>
      <c r="FX747" s="1395"/>
      <c r="FY747" s="1393" t="str">
        <f t="shared" si="35"/>
        <v/>
      </c>
      <c r="FZ747" s="1394"/>
      <c r="GA747" s="1394"/>
      <c r="GB747" s="1394"/>
      <c r="GC747" s="1395"/>
    </row>
    <row r="748" spans="1:185" s="3" customFormat="1" ht="12.9" customHeight="1">
      <c r="A748"/>
      <c r="B748" s="1397"/>
      <c r="C748" s="1398"/>
      <c r="D748" s="1398"/>
      <c r="E748" s="1398"/>
      <c r="F748" s="1399"/>
      <c r="G748" s="1403"/>
      <c r="H748" s="1404"/>
      <c r="I748" s="1404"/>
      <c r="J748" s="1405"/>
      <c r="K748" s="1622"/>
      <c r="L748" s="1623"/>
      <c r="M748" s="1623"/>
      <c r="N748" s="1624"/>
      <c r="O748" s="1500"/>
      <c r="P748" s="1501"/>
      <c r="Q748" s="1501"/>
      <c r="R748" s="1501"/>
      <c r="S748" s="1502"/>
      <c r="T748" s="1500"/>
      <c r="U748" s="1501"/>
      <c r="V748" s="1501"/>
      <c r="W748" s="1502"/>
      <c r="X748" s="1338">
        <f t="shared" si="39"/>
        <v>0</v>
      </c>
      <c r="Y748" s="1339"/>
      <c r="Z748" s="1339"/>
      <c r="AA748" s="1339"/>
      <c r="AB748" s="1340"/>
      <c r="AC748" s="1636"/>
      <c r="AD748" s="1637"/>
      <c r="AE748" s="1637"/>
      <c r="AF748" s="1637"/>
      <c r="AG748" s="1638"/>
      <c r="AH748" s="1400" t="str">
        <f t="shared" si="36"/>
        <v/>
      </c>
      <c r="AI748" s="1401"/>
      <c r="AJ748" s="1402"/>
      <c r="AK748" s="1397" t="s">
        <v>592</v>
      </c>
      <c r="AL748" s="1398"/>
      <c r="AM748" s="1398"/>
      <c r="AN748" s="1398"/>
      <c r="AO748" s="139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93">
        <f t="shared" si="37"/>
        <v>0</v>
      </c>
      <c r="CH748" s="1395"/>
      <c r="CI748" s="1377">
        <f t="shared" si="38"/>
        <v>0</v>
      </c>
      <c r="CJ748" s="1379"/>
      <c r="CK748" s="1393">
        <f t="shared" si="16"/>
        <v>0</v>
      </c>
      <c r="CL748" s="1395"/>
      <c r="CM748" s="1377">
        <f t="shared" si="17"/>
        <v>0</v>
      </c>
      <c r="CN748" s="1379"/>
      <c r="CP748" s="1374">
        <f t="shared" si="18"/>
        <v>0</v>
      </c>
      <c r="CQ748" s="1375"/>
      <c r="CR748" s="1375"/>
      <c r="CS748" s="1375"/>
      <c r="CT748" s="1376"/>
      <c r="CU748" s="1396">
        <f t="shared" si="19"/>
        <v>0</v>
      </c>
      <c r="CV748" s="1396"/>
      <c r="CW748" s="1396"/>
      <c r="CX748" s="1396"/>
      <c r="CY748" s="1396"/>
      <c r="CZ748" s="1396">
        <f t="shared" si="20"/>
        <v>0</v>
      </c>
      <c r="DA748" s="1396"/>
      <c r="DB748" s="1396"/>
      <c r="DC748" s="1396"/>
      <c r="DD748" s="1396"/>
      <c r="DE748" s="1396">
        <f t="shared" si="21"/>
        <v>0</v>
      </c>
      <c r="DF748" s="1396"/>
      <c r="DG748" s="1396"/>
      <c r="DH748" s="1396"/>
      <c r="DI748" s="1396"/>
      <c r="DJ748" s="1396">
        <f t="shared" si="22"/>
        <v>0</v>
      </c>
      <c r="DK748" s="1396"/>
      <c r="DL748" s="1396"/>
      <c r="DM748" s="1396"/>
      <c r="DN748" s="1396"/>
      <c r="DO748" s="1396">
        <f t="shared" si="23"/>
        <v>0</v>
      </c>
      <c r="DP748" s="1396"/>
      <c r="DQ748" s="1396"/>
      <c r="DR748" s="1396"/>
      <c r="DS748" s="1396"/>
      <c r="DT748" s="6"/>
      <c r="DU748" s="1407">
        <f t="shared" si="24"/>
        <v>0</v>
      </c>
      <c r="DV748" s="1407"/>
      <c r="DW748" s="1407"/>
      <c r="DX748" s="1407"/>
      <c r="DY748" s="1407"/>
      <c r="DZ748" s="1407">
        <f t="shared" si="25"/>
        <v>0</v>
      </c>
      <c r="EA748" s="1407"/>
      <c r="EB748" s="1407"/>
      <c r="EC748" s="1407"/>
      <c r="ED748" s="1407"/>
      <c r="EE748" s="1407">
        <f t="shared" si="26"/>
        <v>0</v>
      </c>
      <c r="EF748" s="1407"/>
      <c r="EG748" s="1407"/>
      <c r="EH748" s="1407"/>
      <c r="EI748" s="1407"/>
      <c r="EJ748" s="1407">
        <f t="shared" si="27"/>
        <v>0</v>
      </c>
      <c r="EK748" s="1407"/>
      <c r="EL748" s="1407"/>
      <c r="EM748" s="1407"/>
      <c r="EN748" s="1407"/>
      <c r="EO748" s="1407">
        <f t="shared" si="28"/>
        <v>0</v>
      </c>
      <c r="EP748" s="1407"/>
      <c r="EQ748" s="1407"/>
      <c r="ER748" s="1407"/>
      <c r="ES748" s="1407"/>
      <c r="ET748" s="1407">
        <f t="shared" si="29"/>
        <v>0</v>
      </c>
      <c r="EU748" s="1407"/>
      <c r="EV748" s="1407"/>
      <c r="EW748" s="1407"/>
      <c r="EX748" s="1407"/>
      <c r="EY748"/>
      <c r="EZ748" s="1393" t="str">
        <f t="shared" si="30"/>
        <v/>
      </c>
      <c r="FA748" s="1394"/>
      <c r="FB748" s="1394"/>
      <c r="FC748" s="1394"/>
      <c r="FD748" s="1395"/>
      <c r="FE748" s="1393" t="str">
        <f t="shared" si="31"/>
        <v/>
      </c>
      <c r="FF748" s="1394"/>
      <c r="FG748" s="1394"/>
      <c r="FH748" s="1394"/>
      <c r="FI748" s="1395"/>
      <c r="FJ748" s="1393" t="str">
        <f t="shared" si="32"/>
        <v/>
      </c>
      <c r="FK748" s="1394"/>
      <c r="FL748" s="1394"/>
      <c r="FM748" s="1394"/>
      <c r="FN748" s="1395"/>
      <c r="FO748" s="1393" t="str">
        <f t="shared" si="33"/>
        <v/>
      </c>
      <c r="FP748" s="1394"/>
      <c r="FQ748" s="1394"/>
      <c r="FR748" s="1394"/>
      <c r="FS748" s="1395"/>
      <c r="FT748" s="1393" t="str">
        <f t="shared" si="34"/>
        <v/>
      </c>
      <c r="FU748" s="1394"/>
      <c r="FV748" s="1394"/>
      <c r="FW748" s="1394"/>
      <c r="FX748" s="1395"/>
      <c r="FY748" s="1393" t="str">
        <f t="shared" si="35"/>
        <v/>
      </c>
      <c r="FZ748" s="1394"/>
      <c r="GA748" s="1394"/>
      <c r="GB748" s="1394"/>
      <c r="GC748" s="1395"/>
    </row>
    <row r="749" spans="1:185" s="3" customFormat="1" ht="12.9" customHeight="1">
      <c r="A749"/>
      <c r="B749" s="1397"/>
      <c r="C749" s="1398"/>
      <c r="D749" s="1398"/>
      <c r="E749" s="1398"/>
      <c r="F749" s="1399"/>
      <c r="G749" s="1403"/>
      <c r="H749" s="1404"/>
      <c r="I749" s="1404"/>
      <c r="J749" s="1405"/>
      <c r="K749" s="1622"/>
      <c r="L749" s="1623"/>
      <c r="M749" s="1623"/>
      <c r="N749" s="1624"/>
      <c r="O749" s="1500"/>
      <c r="P749" s="1501"/>
      <c r="Q749" s="1501"/>
      <c r="R749" s="1501"/>
      <c r="S749" s="1502"/>
      <c r="T749" s="1500"/>
      <c r="U749" s="1501"/>
      <c r="V749" s="1501"/>
      <c r="W749" s="1502"/>
      <c r="X749" s="1338">
        <f t="shared" si="39"/>
        <v>0</v>
      </c>
      <c r="Y749" s="1339"/>
      <c r="Z749" s="1339"/>
      <c r="AA749" s="1339"/>
      <c r="AB749" s="1340"/>
      <c r="AC749" s="1636"/>
      <c r="AD749" s="1637"/>
      <c r="AE749" s="1637"/>
      <c r="AF749" s="1637"/>
      <c r="AG749" s="1638"/>
      <c r="AH749" s="1400" t="str">
        <f t="shared" si="36"/>
        <v/>
      </c>
      <c r="AI749" s="1401"/>
      <c r="AJ749" s="1402"/>
      <c r="AK749" s="1397" t="s">
        <v>592</v>
      </c>
      <c r="AL749" s="1398"/>
      <c r="AM749" s="1398"/>
      <c r="AN749" s="1398"/>
      <c r="AO749" s="139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93">
        <f t="shared" si="37"/>
        <v>0</v>
      </c>
      <c r="CH749" s="1395"/>
      <c r="CI749" s="1377">
        <f t="shared" si="38"/>
        <v>0</v>
      </c>
      <c r="CJ749" s="1379"/>
      <c r="CK749" s="1393">
        <f t="shared" si="16"/>
        <v>0</v>
      </c>
      <c r="CL749" s="1395"/>
      <c r="CM749" s="1377">
        <f t="shared" si="17"/>
        <v>0</v>
      </c>
      <c r="CN749" s="1379"/>
      <c r="CP749" s="1374">
        <f t="shared" si="18"/>
        <v>0</v>
      </c>
      <c r="CQ749" s="1375"/>
      <c r="CR749" s="1375"/>
      <c r="CS749" s="1375"/>
      <c r="CT749" s="1376"/>
      <c r="CU749" s="1396">
        <f t="shared" si="19"/>
        <v>0</v>
      </c>
      <c r="CV749" s="1396"/>
      <c r="CW749" s="1396"/>
      <c r="CX749" s="1396"/>
      <c r="CY749" s="1396"/>
      <c r="CZ749" s="1396">
        <f t="shared" si="20"/>
        <v>0</v>
      </c>
      <c r="DA749" s="1396"/>
      <c r="DB749" s="1396"/>
      <c r="DC749" s="1396"/>
      <c r="DD749" s="1396"/>
      <c r="DE749" s="1396">
        <f t="shared" si="21"/>
        <v>0</v>
      </c>
      <c r="DF749" s="1396"/>
      <c r="DG749" s="1396"/>
      <c r="DH749" s="1396"/>
      <c r="DI749" s="1396"/>
      <c r="DJ749" s="1396">
        <f t="shared" si="22"/>
        <v>0</v>
      </c>
      <c r="DK749" s="1396"/>
      <c r="DL749" s="1396"/>
      <c r="DM749" s="1396"/>
      <c r="DN749" s="1396"/>
      <c r="DO749" s="1396">
        <f t="shared" si="23"/>
        <v>0</v>
      </c>
      <c r="DP749" s="1396"/>
      <c r="DQ749" s="1396"/>
      <c r="DR749" s="1396"/>
      <c r="DS749" s="1396"/>
      <c r="DT749" s="6"/>
      <c r="DU749" s="1407">
        <f t="shared" si="24"/>
        <v>0</v>
      </c>
      <c r="DV749" s="1407"/>
      <c r="DW749" s="1407"/>
      <c r="DX749" s="1407"/>
      <c r="DY749" s="1407"/>
      <c r="DZ749" s="1407">
        <f t="shared" si="25"/>
        <v>0</v>
      </c>
      <c r="EA749" s="1407"/>
      <c r="EB749" s="1407"/>
      <c r="EC749" s="1407"/>
      <c r="ED749" s="1407"/>
      <c r="EE749" s="1407">
        <f t="shared" si="26"/>
        <v>0</v>
      </c>
      <c r="EF749" s="1407"/>
      <c r="EG749" s="1407"/>
      <c r="EH749" s="1407"/>
      <c r="EI749" s="1407"/>
      <c r="EJ749" s="1407">
        <f t="shared" si="27"/>
        <v>0</v>
      </c>
      <c r="EK749" s="1407"/>
      <c r="EL749" s="1407"/>
      <c r="EM749" s="1407"/>
      <c r="EN749" s="1407"/>
      <c r="EO749" s="1407">
        <f t="shared" si="28"/>
        <v>0</v>
      </c>
      <c r="EP749" s="1407"/>
      <c r="EQ749" s="1407"/>
      <c r="ER749" s="1407"/>
      <c r="ES749" s="1407"/>
      <c r="ET749" s="1407">
        <f t="shared" si="29"/>
        <v>0</v>
      </c>
      <c r="EU749" s="1407"/>
      <c r="EV749" s="1407"/>
      <c r="EW749" s="1407"/>
      <c r="EX749" s="1407"/>
      <c r="EY749"/>
      <c r="EZ749" s="1393" t="str">
        <f t="shared" si="30"/>
        <v/>
      </c>
      <c r="FA749" s="1394"/>
      <c r="FB749" s="1394"/>
      <c r="FC749" s="1394"/>
      <c r="FD749" s="1395"/>
      <c r="FE749" s="1393" t="str">
        <f t="shared" si="31"/>
        <v/>
      </c>
      <c r="FF749" s="1394"/>
      <c r="FG749" s="1394"/>
      <c r="FH749" s="1394"/>
      <c r="FI749" s="1395"/>
      <c r="FJ749" s="1393" t="str">
        <f t="shared" si="32"/>
        <v/>
      </c>
      <c r="FK749" s="1394"/>
      <c r="FL749" s="1394"/>
      <c r="FM749" s="1394"/>
      <c r="FN749" s="1395"/>
      <c r="FO749" s="1393" t="str">
        <f t="shared" si="33"/>
        <v/>
      </c>
      <c r="FP749" s="1394"/>
      <c r="FQ749" s="1394"/>
      <c r="FR749" s="1394"/>
      <c r="FS749" s="1395"/>
      <c r="FT749" s="1393" t="str">
        <f t="shared" si="34"/>
        <v/>
      </c>
      <c r="FU749" s="1394"/>
      <c r="FV749" s="1394"/>
      <c r="FW749" s="1394"/>
      <c r="FX749" s="1395"/>
      <c r="FY749" s="1393" t="str">
        <f t="shared" si="35"/>
        <v/>
      </c>
      <c r="FZ749" s="1394"/>
      <c r="GA749" s="1394"/>
      <c r="GB749" s="1394"/>
      <c r="GC749" s="1395"/>
    </row>
    <row r="750" spans="1:185" s="3" customFormat="1" ht="12.9" customHeight="1">
      <c r="A750"/>
      <c r="B750" s="1397"/>
      <c r="C750" s="1398"/>
      <c r="D750" s="1398"/>
      <c r="E750" s="1398"/>
      <c r="F750" s="1399"/>
      <c r="G750" s="1403"/>
      <c r="H750" s="1404"/>
      <c r="I750" s="1404"/>
      <c r="J750" s="1405"/>
      <c r="K750" s="1622"/>
      <c r="L750" s="1623"/>
      <c r="M750" s="1623"/>
      <c r="N750" s="1624"/>
      <c r="O750" s="1500"/>
      <c r="P750" s="1501"/>
      <c r="Q750" s="1501"/>
      <c r="R750" s="1501"/>
      <c r="S750" s="1502"/>
      <c r="T750" s="1500"/>
      <c r="U750" s="1501"/>
      <c r="V750" s="1501"/>
      <c r="W750" s="1502"/>
      <c r="X750" s="1338">
        <f t="shared" si="39"/>
        <v>0</v>
      </c>
      <c r="Y750" s="1339"/>
      <c r="Z750" s="1339"/>
      <c r="AA750" s="1339"/>
      <c r="AB750" s="1340"/>
      <c r="AC750" s="1636"/>
      <c r="AD750" s="1637"/>
      <c r="AE750" s="1637"/>
      <c r="AF750" s="1637"/>
      <c r="AG750" s="1638"/>
      <c r="AH750" s="1400" t="str">
        <f t="shared" si="36"/>
        <v/>
      </c>
      <c r="AI750" s="1401"/>
      <c r="AJ750" s="1402"/>
      <c r="AK750" s="1397" t="s">
        <v>592</v>
      </c>
      <c r="AL750" s="1398"/>
      <c r="AM750" s="1398"/>
      <c r="AN750" s="1398"/>
      <c r="AO750" s="139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93">
        <f t="shared" si="37"/>
        <v>0</v>
      </c>
      <c r="CH750" s="1395"/>
      <c r="CI750" s="1377">
        <f t="shared" si="38"/>
        <v>0</v>
      </c>
      <c r="CJ750" s="1379"/>
      <c r="CK750" s="1393">
        <f t="shared" si="16"/>
        <v>0</v>
      </c>
      <c r="CL750" s="1395"/>
      <c r="CM750" s="1377">
        <f t="shared" si="17"/>
        <v>0</v>
      </c>
      <c r="CN750" s="1379"/>
      <c r="CP750" s="1374">
        <f t="shared" si="18"/>
        <v>0</v>
      </c>
      <c r="CQ750" s="1375"/>
      <c r="CR750" s="1375"/>
      <c r="CS750" s="1375"/>
      <c r="CT750" s="1376"/>
      <c r="CU750" s="1396">
        <f t="shared" si="19"/>
        <v>0</v>
      </c>
      <c r="CV750" s="1396"/>
      <c r="CW750" s="1396"/>
      <c r="CX750" s="1396"/>
      <c r="CY750" s="1396"/>
      <c r="CZ750" s="1396">
        <f t="shared" si="20"/>
        <v>0</v>
      </c>
      <c r="DA750" s="1396"/>
      <c r="DB750" s="1396"/>
      <c r="DC750" s="1396"/>
      <c r="DD750" s="1396"/>
      <c r="DE750" s="1396">
        <f t="shared" si="21"/>
        <v>0</v>
      </c>
      <c r="DF750" s="1396"/>
      <c r="DG750" s="1396"/>
      <c r="DH750" s="1396"/>
      <c r="DI750" s="1396"/>
      <c r="DJ750" s="1396">
        <f t="shared" si="22"/>
        <v>0</v>
      </c>
      <c r="DK750" s="1396"/>
      <c r="DL750" s="1396"/>
      <c r="DM750" s="1396"/>
      <c r="DN750" s="1396"/>
      <c r="DO750" s="1396">
        <f t="shared" si="23"/>
        <v>0</v>
      </c>
      <c r="DP750" s="1396"/>
      <c r="DQ750" s="1396"/>
      <c r="DR750" s="1396"/>
      <c r="DS750" s="1396"/>
      <c r="DT750" s="6"/>
      <c r="DU750" s="1407">
        <f t="shared" si="24"/>
        <v>0</v>
      </c>
      <c r="DV750" s="1407"/>
      <c r="DW750" s="1407"/>
      <c r="DX750" s="1407"/>
      <c r="DY750" s="1407"/>
      <c r="DZ750" s="1407">
        <f t="shared" si="25"/>
        <v>0</v>
      </c>
      <c r="EA750" s="1407"/>
      <c r="EB750" s="1407"/>
      <c r="EC750" s="1407"/>
      <c r="ED750" s="1407"/>
      <c r="EE750" s="1407">
        <f t="shared" si="26"/>
        <v>0</v>
      </c>
      <c r="EF750" s="1407"/>
      <c r="EG750" s="1407"/>
      <c r="EH750" s="1407"/>
      <c r="EI750" s="1407"/>
      <c r="EJ750" s="1407">
        <f t="shared" si="27"/>
        <v>0</v>
      </c>
      <c r="EK750" s="1407"/>
      <c r="EL750" s="1407"/>
      <c r="EM750" s="1407"/>
      <c r="EN750" s="1407"/>
      <c r="EO750" s="1407">
        <f t="shared" si="28"/>
        <v>0</v>
      </c>
      <c r="EP750" s="1407"/>
      <c r="EQ750" s="1407"/>
      <c r="ER750" s="1407"/>
      <c r="ES750" s="1407"/>
      <c r="ET750" s="1407">
        <f t="shared" si="29"/>
        <v>0</v>
      </c>
      <c r="EU750" s="1407"/>
      <c r="EV750" s="1407"/>
      <c r="EW750" s="1407"/>
      <c r="EX750" s="1407"/>
      <c r="EY750"/>
      <c r="EZ750" s="1393" t="str">
        <f t="shared" si="30"/>
        <v/>
      </c>
      <c r="FA750" s="1394"/>
      <c r="FB750" s="1394"/>
      <c r="FC750" s="1394"/>
      <c r="FD750" s="1395"/>
      <c r="FE750" s="1393" t="str">
        <f t="shared" si="31"/>
        <v/>
      </c>
      <c r="FF750" s="1394"/>
      <c r="FG750" s="1394"/>
      <c r="FH750" s="1394"/>
      <c r="FI750" s="1395"/>
      <c r="FJ750" s="1393" t="str">
        <f t="shared" si="32"/>
        <v/>
      </c>
      <c r="FK750" s="1394"/>
      <c r="FL750" s="1394"/>
      <c r="FM750" s="1394"/>
      <c r="FN750" s="1395"/>
      <c r="FO750" s="1393" t="str">
        <f t="shared" si="33"/>
        <v/>
      </c>
      <c r="FP750" s="1394"/>
      <c r="FQ750" s="1394"/>
      <c r="FR750" s="1394"/>
      <c r="FS750" s="1395"/>
      <c r="FT750" s="1393" t="str">
        <f t="shared" si="34"/>
        <v/>
      </c>
      <c r="FU750" s="1394"/>
      <c r="FV750" s="1394"/>
      <c r="FW750" s="1394"/>
      <c r="FX750" s="1395"/>
      <c r="FY750" s="1393" t="str">
        <f t="shared" si="35"/>
        <v/>
      </c>
      <c r="FZ750" s="1394"/>
      <c r="GA750" s="1394"/>
      <c r="GB750" s="1394"/>
      <c r="GC750" s="1395"/>
    </row>
    <row r="751" spans="1:185" s="3" customFormat="1" ht="12.9" customHeight="1">
      <c r="A751"/>
      <c r="B751" s="1397"/>
      <c r="C751" s="1398"/>
      <c r="D751" s="1398"/>
      <c r="E751" s="1398"/>
      <c r="F751" s="1399"/>
      <c r="G751" s="1403"/>
      <c r="H751" s="1404"/>
      <c r="I751" s="1404"/>
      <c r="J751" s="1405"/>
      <c r="K751" s="1622"/>
      <c r="L751" s="1623"/>
      <c r="M751" s="1623"/>
      <c r="N751" s="1624"/>
      <c r="O751" s="1500"/>
      <c r="P751" s="1501"/>
      <c r="Q751" s="1501"/>
      <c r="R751" s="1501"/>
      <c r="S751" s="1502"/>
      <c r="T751" s="1500"/>
      <c r="U751" s="1501"/>
      <c r="V751" s="1501"/>
      <c r="W751" s="1502"/>
      <c r="X751" s="1338">
        <f t="shared" si="39"/>
        <v>0</v>
      </c>
      <c r="Y751" s="1339"/>
      <c r="Z751" s="1339"/>
      <c r="AA751" s="1339"/>
      <c r="AB751" s="1340"/>
      <c r="AC751" s="1636"/>
      <c r="AD751" s="1637"/>
      <c r="AE751" s="1637"/>
      <c r="AF751" s="1637"/>
      <c r="AG751" s="1638"/>
      <c r="AH751" s="1400" t="str">
        <f t="shared" si="36"/>
        <v/>
      </c>
      <c r="AI751" s="1401"/>
      <c r="AJ751" s="1402"/>
      <c r="AK751" s="1397" t="s">
        <v>592</v>
      </c>
      <c r="AL751" s="1398"/>
      <c r="AM751" s="1398"/>
      <c r="AN751" s="1398"/>
      <c r="AO751" s="139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93">
        <f t="shared" si="37"/>
        <v>0</v>
      </c>
      <c r="CH751" s="1395"/>
      <c r="CI751" s="1377">
        <f t="shared" si="38"/>
        <v>0</v>
      </c>
      <c r="CJ751" s="1379"/>
      <c r="CK751" s="1393">
        <f t="shared" si="16"/>
        <v>0</v>
      </c>
      <c r="CL751" s="1395"/>
      <c r="CM751" s="1377">
        <f t="shared" si="17"/>
        <v>0</v>
      </c>
      <c r="CN751" s="1379"/>
      <c r="CP751" s="1374">
        <f t="shared" si="18"/>
        <v>0</v>
      </c>
      <c r="CQ751" s="1375"/>
      <c r="CR751" s="1375"/>
      <c r="CS751" s="1375"/>
      <c r="CT751" s="1376"/>
      <c r="CU751" s="1396">
        <f t="shared" si="19"/>
        <v>0</v>
      </c>
      <c r="CV751" s="1396"/>
      <c r="CW751" s="1396"/>
      <c r="CX751" s="1396"/>
      <c r="CY751" s="1396"/>
      <c r="CZ751" s="1396">
        <f t="shared" si="20"/>
        <v>0</v>
      </c>
      <c r="DA751" s="1396"/>
      <c r="DB751" s="1396"/>
      <c r="DC751" s="1396"/>
      <c r="DD751" s="1396"/>
      <c r="DE751" s="1396">
        <f t="shared" si="21"/>
        <v>0</v>
      </c>
      <c r="DF751" s="1396"/>
      <c r="DG751" s="1396"/>
      <c r="DH751" s="1396"/>
      <c r="DI751" s="1396"/>
      <c r="DJ751" s="1396">
        <f t="shared" si="22"/>
        <v>0</v>
      </c>
      <c r="DK751" s="1396"/>
      <c r="DL751" s="1396"/>
      <c r="DM751" s="1396"/>
      <c r="DN751" s="1396"/>
      <c r="DO751" s="1396">
        <f t="shared" si="23"/>
        <v>0</v>
      </c>
      <c r="DP751" s="1396"/>
      <c r="DQ751" s="1396"/>
      <c r="DR751" s="1396"/>
      <c r="DS751" s="1396"/>
      <c r="DT751" s="6"/>
      <c r="DU751" s="1407">
        <f t="shared" si="24"/>
        <v>0</v>
      </c>
      <c r="DV751" s="1407"/>
      <c r="DW751" s="1407"/>
      <c r="DX751" s="1407"/>
      <c r="DY751" s="1407"/>
      <c r="DZ751" s="1407">
        <f t="shared" si="25"/>
        <v>0</v>
      </c>
      <c r="EA751" s="1407"/>
      <c r="EB751" s="1407"/>
      <c r="EC751" s="1407"/>
      <c r="ED751" s="1407"/>
      <c r="EE751" s="1407">
        <f t="shared" si="26"/>
        <v>0</v>
      </c>
      <c r="EF751" s="1407"/>
      <c r="EG751" s="1407"/>
      <c r="EH751" s="1407"/>
      <c r="EI751" s="1407"/>
      <c r="EJ751" s="1407">
        <f t="shared" si="27"/>
        <v>0</v>
      </c>
      <c r="EK751" s="1407"/>
      <c r="EL751" s="1407"/>
      <c r="EM751" s="1407"/>
      <c r="EN751" s="1407"/>
      <c r="EO751" s="1407">
        <f t="shared" si="28"/>
        <v>0</v>
      </c>
      <c r="EP751" s="1407"/>
      <c r="EQ751" s="1407"/>
      <c r="ER751" s="1407"/>
      <c r="ES751" s="1407"/>
      <c r="ET751" s="1407">
        <f t="shared" si="29"/>
        <v>0</v>
      </c>
      <c r="EU751" s="1407"/>
      <c r="EV751" s="1407"/>
      <c r="EW751" s="1407"/>
      <c r="EX751" s="1407"/>
      <c r="EY751"/>
      <c r="EZ751" s="1393" t="str">
        <f t="shared" si="30"/>
        <v/>
      </c>
      <c r="FA751" s="1394"/>
      <c r="FB751" s="1394"/>
      <c r="FC751" s="1394"/>
      <c r="FD751" s="1395"/>
      <c r="FE751" s="1393" t="str">
        <f t="shared" si="31"/>
        <v/>
      </c>
      <c r="FF751" s="1394"/>
      <c r="FG751" s="1394"/>
      <c r="FH751" s="1394"/>
      <c r="FI751" s="1395"/>
      <c r="FJ751" s="1393" t="str">
        <f t="shared" si="32"/>
        <v/>
      </c>
      <c r="FK751" s="1394"/>
      <c r="FL751" s="1394"/>
      <c r="FM751" s="1394"/>
      <c r="FN751" s="1395"/>
      <c r="FO751" s="1393" t="str">
        <f t="shared" si="33"/>
        <v/>
      </c>
      <c r="FP751" s="1394"/>
      <c r="FQ751" s="1394"/>
      <c r="FR751" s="1394"/>
      <c r="FS751" s="1395"/>
      <c r="FT751" s="1393" t="str">
        <f t="shared" si="34"/>
        <v/>
      </c>
      <c r="FU751" s="1394"/>
      <c r="FV751" s="1394"/>
      <c r="FW751" s="1394"/>
      <c r="FX751" s="1395"/>
      <c r="FY751" s="1393" t="str">
        <f t="shared" si="35"/>
        <v/>
      </c>
      <c r="FZ751" s="1394"/>
      <c r="GA751" s="1394"/>
      <c r="GB751" s="1394"/>
      <c r="GC751" s="1395"/>
    </row>
    <row r="752" spans="1:185" s="3" customFormat="1" ht="12.9" customHeight="1">
      <c r="A752"/>
      <c r="B752" s="1397"/>
      <c r="C752" s="1398"/>
      <c r="D752" s="1398"/>
      <c r="E752" s="1398"/>
      <c r="F752" s="1399"/>
      <c r="G752" s="1403"/>
      <c r="H752" s="1404"/>
      <c r="I752" s="1404"/>
      <c r="J752" s="1405"/>
      <c r="K752" s="1622"/>
      <c r="L752" s="1623"/>
      <c r="M752" s="1623"/>
      <c r="N752" s="1624"/>
      <c r="O752" s="1500"/>
      <c r="P752" s="1501"/>
      <c r="Q752" s="1501"/>
      <c r="R752" s="1501"/>
      <c r="S752" s="1502"/>
      <c r="T752" s="1500"/>
      <c r="U752" s="1501"/>
      <c r="V752" s="1501"/>
      <c r="W752" s="1502"/>
      <c r="X752" s="1338">
        <f>O752+T752</f>
        <v>0</v>
      </c>
      <c r="Y752" s="1339"/>
      <c r="Z752" s="1339"/>
      <c r="AA752" s="1339"/>
      <c r="AB752" s="1340"/>
      <c r="AC752" s="1636"/>
      <c r="AD752" s="1637"/>
      <c r="AE752" s="1637"/>
      <c r="AF752" s="1637"/>
      <c r="AG752" s="1638"/>
      <c r="AH752" s="1400" t="str">
        <f t="shared" si="36"/>
        <v/>
      </c>
      <c r="AI752" s="1401"/>
      <c r="AJ752" s="1402"/>
      <c r="AK752" s="1397" t="s">
        <v>592</v>
      </c>
      <c r="AL752" s="1398"/>
      <c r="AM752" s="1398"/>
      <c r="AN752" s="1398"/>
      <c r="AO752" s="139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93">
        <f t="shared" si="37"/>
        <v>0</v>
      </c>
      <c r="CH752" s="1395"/>
      <c r="CI752" s="1377">
        <f t="shared" si="38"/>
        <v>0</v>
      </c>
      <c r="CJ752" s="1379"/>
      <c r="CK752" s="1393">
        <f t="shared" si="16"/>
        <v>0</v>
      </c>
      <c r="CL752" s="1395"/>
      <c r="CM752" s="1377">
        <f t="shared" si="17"/>
        <v>0</v>
      </c>
      <c r="CN752" s="1379"/>
      <c r="CP752" s="1374">
        <f t="shared" si="18"/>
        <v>0</v>
      </c>
      <c r="CQ752" s="1375"/>
      <c r="CR752" s="1375"/>
      <c r="CS752" s="1375"/>
      <c r="CT752" s="1376"/>
      <c r="CU752" s="1396">
        <f t="shared" si="19"/>
        <v>0</v>
      </c>
      <c r="CV752" s="1396"/>
      <c r="CW752" s="1396"/>
      <c r="CX752" s="1396"/>
      <c r="CY752" s="1396"/>
      <c r="CZ752" s="1396">
        <f t="shared" si="20"/>
        <v>0</v>
      </c>
      <c r="DA752" s="1396"/>
      <c r="DB752" s="1396"/>
      <c r="DC752" s="1396"/>
      <c r="DD752" s="1396"/>
      <c r="DE752" s="1396">
        <f t="shared" si="21"/>
        <v>0</v>
      </c>
      <c r="DF752" s="1396"/>
      <c r="DG752" s="1396"/>
      <c r="DH752" s="1396"/>
      <c r="DI752" s="1396"/>
      <c r="DJ752" s="1396">
        <f t="shared" si="22"/>
        <v>0</v>
      </c>
      <c r="DK752" s="1396"/>
      <c r="DL752" s="1396"/>
      <c r="DM752" s="1396"/>
      <c r="DN752" s="1396"/>
      <c r="DO752" s="1396">
        <f t="shared" si="23"/>
        <v>0</v>
      </c>
      <c r="DP752" s="1396"/>
      <c r="DQ752" s="1396"/>
      <c r="DR752" s="1396"/>
      <c r="DS752" s="1396"/>
      <c r="DT752" s="6"/>
      <c r="DU752" s="1407">
        <f t="shared" si="24"/>
        <v>0</v>
      </c>
      <c r="DV752" s="1407"/>
      <c r="DW752" s="1407"/>
      <c r="DX752" s="1407"/>
      <c r="DY752" s="1407"/>
      <c r="DZ752" s="1407">
        <f t="shared" si="25"/>
        <v>0</v>
      </c>
      <c r="EA752" s="1407"/>
      <c r="EB752" s="1407"/>
      <c r="EC752" s="1407"/>
      <c r="ED752" s="1407"/>
      <c r="EE752" s="1407">
        <f t="shared" si="26"/>
        <v>0</v>
      </c>
      <c r="EF752" s="1407"/>
      <c r="EG752" s="1407"/>
      <c r="EH752" s="1407"/>
      <c r="EI752" s="1407"/>
      <c r="EJ752" s="1407">
        <f t="shared" si="27"/>
        <v>0</v>
      </c>
      <c r="EK752" s="1407"/>
      <c r="EL752" s="1407"/>
      <c r="EM752" s="1407"/>
      <c r="EN752" s="1407"/>
      <c r="EO752" s="1407">
        <f t="shared" si="28"/>
        <v>0</v>
      </c>
      <c r="EP752" s="1407"/>
      <c r="EQ752" s="1407"/>
      <c r="ER752" s="1407"/>
      <c r="ES752" s="1407"/>
      <c r="ET752" s="1407">
        <f t="shared" si="29"/>
        <v>0</v>
      </c>
      <c r="EU752" s="1407"/>
      <c r="EV752" s="1407"/>
      <c r="EW752" s="1407"/>
      <c r="EX752" s="1407"/>
      <c r="EY752"/>
      <c r="EZ752" s="1393" t="str">
        <f t="shared" si="30"/>
        <v/>
      </c>
      <c r="FA752" s="1394"/>
      <c r="FB752" s="1394"/>
      <c r="FC752" s="1394"/>
      <c r="FD752" s="1395"/>
      <c r="FE752" s="1393" t="str">
        <f t="shared" si="31"/>
        <v/>
      </c>
      <c r="FF752" s="1394"/>
      <c r="FG752" s="1394"/>
      <c r="FH752" s="1394"/>
      <c r="FI752" s="1395"/>
      <c r="FJ752" s="1393" t="str">
        <f t="shared" si="32"/>
        <v/>
      </c>
      <c r="FK752" s="1394"/>
      <c r="FL752" s="1394"/>
      <c r="FM752" s="1394"/>
      <c r="FN752" s="1395"/>
      <c r="FO752" s="1393" t="str">
        <f t="shared" si="33"/>
        <v/>
      </c>
      <c r="FP752" s="1394"/>
      <c r="FQ752" s="1394"/>
      <c r="FR752" s="1394"/>
      <c r="FS752" s="1395"/>
      <c r="FT752" s="1393" t="str">
        <f t="shared" si="34"/>
        <v/>
      </c>
      <c r="FU752" s="1394"/>
      <c r="FV752" s="1394"/>
      <c r="FW752" s="1394"/>
      <c r="FX752" s="1395"/>
      <c r="FY752" s="1393" t="str">
        <f t="shared" si="35"/>
        <v/>
      </c>
      <c r="FZ752" s="1394"/>
      <c r="GA752" s="1394"/>
      <c r="GB752" s="1394"/>
      <c r="GC752" s="1395"/>
    </row>
    <row r="753" spans="1:185" s="3" customFormat="1" ht="12.9" customHeight="1">
      <c r="A753"/>
      <c r="B753" s="1516" t="s">
        <v>125</v>
      </c>
      <c r="C753" s="1517"/>
      <c r="D753" s="1517"/>
      <c r="E753" s="1517"/>
      <c r="F753" s="1519"/>
      <c r="G753" s="1743">
        <f>SUM(G718:G752)</f>
        <v>45</v>
      </c>
      <c r="H753" s="1744"/>
      <c r="I753" s="1744"/>
      <c r="J753" s="1745"/>
      <c r="K753" s="902" t="s">
        <v>124</v>
      </c>
      <c r="L753" s="5"/>
      <c r="M753" s="5"/>
      <c r="N753" s="46"/>
      <c r="O753" s="1338">
        <f>SUMPRODUCT(G718:G752,O718:O752)</f>
        <v>46343</v>
      </c>
      <c r="P753" s="1339"/>
      <c r="Q753" s="1339"/>
      <c r="R753" s="1339"/>
      <c r="S753" s="1340"/>
      <c r="T753"/>
      <c r="U753"/>
      <c r="V753"/>
      <c r="W753"/>
      <c r="X753" s="904" t="s">
        <v>901</v>
      </c>
      <c r="Y753" s="903"/>
      <c r="Z753" s="903"/>
      <c r="AA753" s="903"/>
      <c r="AB753" s="905"/>
      <c r="AC753" s="1686">
        <f>BH753</f>
        <v>0.59777777777777774</v>
      </c>
      <c r="AD753" s="1687"/>
      <c r="AE753" s="1687"/>
      <c r="AF753" s="1687"/>
      <c r="AG753" s="1688"/>
      <c r="AH753" s="1686">
        <f>IFERROR(BU753,"")</f>
        <v>0.5189952572981813</v>
      </c>
      <c r="AI753" s="1687"/>
      <c r="AJ753" s="1688"/>
      <c r="AK753"/>
      <c r="AL753"/>
      <c r="AM753"/>
      <c r="AN753"/>
      <c r="AO753"/>
      <c r="AP753" s="205"/>
      <c r="AQ753" s="205"/>
      <c r="AR753" s="205"/>
      <c r="AS753" s="205"/>
      <c r="AT753"/>
      <c r="AU753"/>
      <c r="AV753"/>
      <c r="AW753"/>
      <c r="AX753"/>
      <c r="AY753"/>
      <c r="AZ753" s="34"/>
      <c r="BA753" s="34"/>
      <c r="BB753" s="34"/>
      <c r="BC753" s="34"/>
      <c r="BE753" s="290" t="s">
        <v>900</v>
      </c>
      <c r="BF753" s="299">
        <f>SUM(BF718:BF752)</f>
        <v>45</v>
      </c>
      <c r="BG753" s="300">
        <f>SUM(BG718:BG752)</f>
        <v>1</v>
      </c>
      <c r="BH753" s="300">
        <f>SUM(BH718:BH752)</f>
        <v>0.59777777777777774</v>
      </c>
      <c r="BI753"/>
      <c r="BJ753"/>
      <c r="BK753"/>
      <c r="BL753"/>
      <c r="BO753"/>
      <c r="BP753"/>
      <c r="BQ753"/>
      <c r="BR753"/>
      <c r="BS753" s="859">
        <f>SUM(BS718:BS752)</f>
        <v>45</v>
      </c>
      <c r="BT753" s="300">
        <f>SUM(BT718:BT752)</f>
        <v>1</v>
      </c>
      <c r="BU753" s="300">
        <f>SUM(BU718:BU752)</f>
        <v>0.5189952572981813</v>
      </c>
      <c r="CI753" s="1393">
        <f>SUM(CI718:CJ752)</f>
        <v>12</v>
      </c>
      <c r="CJ753" s="1395"/>
      <c r="CM753" s="1393">
        <f>SUM(CM718:CN752)</f>
        <v>5</v>
      </c>
      <c r="CN753" s="1395"/>
      <c r="CP753" s="1393">
        <f>SUM(CP718:CT752)</f>
        <v>3</v>
      </c>
      <c r="CQ753" s="1394"/>
      <c r="CR753" s="1394"/>
      <c r="CS753" s="1394"/>
      <c r="CT753" s="1395"/>
      <c r="CU753" s="1406">
        <f>SUM(CU718:CY752)</f>
        <v>18</v>
      </c>
      <c r="CV753" s="1406"/>
      <c r="CW753" s="1406"/>
      <c r="CX753" s="1406"/>
      <c r="CY753" s="1406"/>
      <c r="CZ753" s="1406">
        <f>SUM(CZ718:DD752)</f>
        <v>12</v>
      </c>
      <c r="DA753" s="1406"/>
      <c r="DB753" s="1406"/>
      <c r="DC753" s="1406"/>
      <c r="DD753" s="1406"/>
      <c r="DE753" s="1406">
        <f>SUM(DE718:DI752)</f>
        <v>12</v>
      </c>
      <c r="DF753" s="1406"/>
      <c r="DG753" s="1406"/>
      <c r="DH753" s="1406"/>
      <c r="DI753" s="1406"/>
      <c r="DJ753" s="1406">
        <f>SUM(DJ718:DN752)</f>
        <v>0</v>
      </c>
      <c r="DK753" s="1406"/>
      <c r="DL753" s="1406"/>
      <c r="DM753" s="1406"/>
      <c r="DN753" s="1406"/>
      <c r="DO753" s="1406">
        <f>SUM(DO718:DS752)</f>
        <v>0</v>
      </c>
      <c r="DP753" s="1406"/>
      <c r="DQ753" s="1406"/>
      <c r="DR753" s="1406"/>
      <c r="DS753" s="1406"/>
      <c r="DT753" s="354"/>
      <c r="DU753" s="1406">
        <f>SUM(DU718:DY752)</f>
        <v>1</v>
      </c>
      <c r="DV753" s="1406"/>
      <c r="DW753" s="1406"/>
      <c r="DX753" s="1406"/>
      <c r="DY753" s="1406"/>
      <c r="DZ753" s="1406">
        <f>SUM(DZ718:ED752)</f>
        <v>2</v>
      </c>
      <c r="EA753" s="1406"/>
      <c r="EB753" s="1406"/>
      <c r="EC753" s="1406"/>
      <c r="ED753" s="1406"/>
      <c r="EE753" s="1406">
        <f>SUM(EE718:EI752)</f>
        <v>1</v>
      </c>
      <c r="EF753" s="1406"/>
      <c r="EG753" s="1406"/>
      <c r="EH753" s="1406"/>
      <c r="EI753" s="1406"/>
      <c r="EJ753" s="1406">
        <f>SUM(EJ718:EN752)</f>
        <v>1</v>
      </c>
      <c r="EK753" s="1406"/>
      <c r="EL753" s="1406"/>
      <c r="EM753" s="1406"/>
      <c r="EN753" s="1406"/>
      <c r="EO753" s="1406">
        <f>SUM(EO718:ES752)</f>
        <v>0</v>
      </c>
      <c r="EP753" s="1406"/>
      <c r="EQ753" s="1406"/>
      <c r="ER753" s="1406"/>
      <c r="ES753" s="1406"/>
      <c r="ET753" s="1406">
        <f>SUM(ET718:EX752)</f>
        <v>0</v>
      </c>
      <c r="EU753" s="1406"/>
      <c r="EV753" s="1406"/>
      <c r="EW753" s="1406"/>
      <c r="EX753" s="1406"/>
      <c r="EY753"/>
      <c r="EZ753" s="1406">
        <f>SUM(EZ718:FD752)</f>
        <v>1291</v>
      </c>
      <c r="FA753" s="1406"/>
      <c r="FB753" s="1406"/>
      <c r="FC753" s="1406"/>
      <c r="FD753" s="1406"/>
      <c r="FE753" s="1406">
        <f>SUM(FE718:FI752)</f>
        <v>3651</v>
      </c>
      <c r="FF753" s="1406"/>
      <c r="FG753" s="1406"/>
      <c r="FH753" s="1406"/>
      <c r="FI753" s="1406"/>
      <c r="FJ753" s="1406">
        <f>SUM(FJ718:FN752)</f>
        <v>3760</v>
      </c>
      <c r="FK753" s="1406"/>
      <c r="FL753" s="1406"/>
      <c r="FM753" s="1406"/>
      <c r="FN753" s="1406"/>
      <c r="FO753" s="1406">
        <f>SUM(FO718:FS752)</f>
        <v>3070</v>
      </c>
      <c r="FP753" s="1406"/>
      <c r="FQ753" s="1406"/>
      <c r="FR753" s="1406"/>
      <c r="FS753" s="1406"/>
      <c r="FT753" s="1406">
        <f>SUM(FT718:FX752)</f>
        <v>0</v>
      </c>
      <c r="FU753" s="1406"/>
      <c r="FV753" s="1406"/>
      <c r="FW753" s="1406"/>
      <c r="FX753" s="1406"/>
      <c r="FY753" s="1406">
        <f>SUM(FY718:GC752)</f>
        <v>0</v>
      </c>
      <c r="FZ753" s="1406"/>
      <c r="GA753" s="1406"/>
      <c r="GB753" s="1406"/>
      <c r="GC753" s="1406"/>
    </row>
    <row r="754" spans="1:185" s="3" customFormat="1" ht="12.9" customHeight="1">
      <c r="A754"/>
      <c r="B754" s="1742" t="s">
        <v>1894</v>
      </c>
      <c r="C754" s="1742"/>
      <c r="D754" s="1742"/>
      <c r="E754" s="1742"/>
      <c r="F754" s="1742"/>
      <c r="G754" s="1742"/>
      <c r="H754" s="1742"/>
      <c r="I754" s="1742"/>
      <c r="J754" s="1742"/>
      <c r="K754" s="1742"/>
      <c r="L754" s="1742"/>
      <c r="M754" s="1742"/>
      <c r="N754" s="1742"/>
      <c r="O754" s="1742"/>
      <c r="P754" s="1742"/>
      <c r="Q754" s="1742"/>
      <c r="R754" s="1742"/>
      <c r="S754" s="1742"/>
      <c r="T754" s="1742"/>
      <c r="U754" s="1742"/>
      <c r="V754" s="1742"/>
      <c r="W754" s="1742"/>
      <c r="X754" s="1742"/>
      <c r="Y754" s="1742"/>
      <c r="Z754" s="1742"/>
      <c r="AA754" s="1742"/>
      <c r="AB754" s="1742"/>
      <c r="AC754" s="1742"/>
      <c r="AD754" s="1742"/>
      <c r="AE754" s="1742"/>
      <c r="AF754" s="1742"/>
      <c r="AG754" s="1742"/>
      <c r="AH754" s="1742"/>
      <c r="AI754"/>
      <c r="AJ754"/>
      <c r="AK754"/>
      <c r="AT754"/>
      <c r="AU754"/>
      <c r="AV754"/>
      <c r="AW754"/>
      <c r="AX754"/>
      <c r="AY754"/>
      <c r="CD754"/>
      <c r="DN754" s="56" t="s">
        <v>1861</v>
      </c>
      <c r="DO754" s="1393">
        <f>CP753+CU753+CZ753+DE753+DJ753+DO753</f>
        <v>45</v>
      </c>
      <c r="DP754" s="1394"/>
      <c r="DQ754" s="1394"/>
      <c r="DR754" s="1394"/>
      <c r="DS754" s="139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42"/>
      <c r="C755" s="1742"/>
      <c r="D755" s="1742"/>
      <c r="E755" s="1742"/>
      <c r="F755" s="1742"/>
      <c r="G755" s="1742"/>
      <c r="H755" s="1742"/>
      <c r="I755" s="1742"/>
      <c r="J755" s="1742"/>
      <c r="K755" s="1742"/>
      <c r="L755" s="1742"/>
      <c r="M755" s="1742"/>
      <c r="N755" s="1742"/>
      <c r="O755" s="1742"/>
      <c r="P755" s="1742"/>
      <c r="Q755" s="1742"/>
      <c r="R755" s="1742"/>
      <c r="S755" s="1742"/>
      <c r="T755" s="1742"/>
      <c r="U755" s="1742"/>
      <c r="V755" s="1742"/>
      <c r="W755" s="1742"/>
      <c r="X755" s="1742"/>
      <c r="Y755" s="1742"/>
      <c r="Z755" s="1742"/>
      <c r="AA755" s="1742"/>
      <c r="AB755" s="1742"/>
      <c r="AC755" s="1742"/>
      <c r="AD755" s="1742"/>
      <c r="AE755" s="1742"/>
      <c r="AF755" s="1742"/>
      <c r="AG755" s="1742"/>
      <c r="AH755" s="174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v>
      </c>
      <c r="CU755" s="3"/>
      <c r="CV755" s="3"/>
      <c r="CW755" s="3"/>
      <c r="CX755" s="3"/>
      <c r="CY755" s="861">
        <f>CU753*1</f>
        <v>18</v>
      </c>
      <c r="CZ755" s="3"/>
      <c r="DA755" s="3"/>
      <c r="DB755" s="3"/>
      <c r="DC755" s="3"/>
      <c r="DD755" s="861">
        <f>CZ753*2</f>
        <v>24</v>
      </c>
      <c r="DE755" s="3"/>
      <c r="DF755" s="3"/>
      <c r="DG755" s="3"/>
      <c r="DH755" s="3"/>
      <c r="DI755" s="861">
        <f>DE753*3</f>
        <v>36</v>
      </c>
      <c r="DJ755" s="3"/>
      <c r="DK755" s="3"/>
      <c r="DL755" s="3"/>
      <c r="DM755" s="3"/>
      <c r="DN755" s="861">
        <f>DJ753*4</f>
        <v>0</v>
      </c>
      <c r="DO755" s="3"/>
      <c r="DP755" s="3"/>
      <c r="DQ755" s="3"/>
      <c r="DR755" s="3"/>
      <c r="DS755" s="861">
        <f>DO753*5</f>
        <v>0</v>
      </c>
      <c r="DU755" s="861">
        <f>CT755+CY755+DD755+DI755+DN755+DS755</f>
        <v>81</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406">
        <f>DU755</f>
        <v>81</v>
      </c>
      <c r="P756" s="1406"/>
      <c r="Q756" s="1406"/>
      <c r="R756" s="1406"/>
      <c r="S756" s="969"/>
      <c r="T756" s="969"/>
      <c r="U756" s="118" t="s">
        <v>1893</v>
      </c>
      <c r="V756" s="1032"/>
      <c r="W756" s="1032"/>
      <c r="X756" s="1032"/>
      <c r="Y756" s="1033"/>
      <c r="Z756" s="1033"/>
      <c r="AA756" s="1033"/>
      <c r="AB756" s="1033"/>
      <c r="AC756" s="1032"/>
      <c r="AD756" s="1032"/>
      <c r="AE756" s="1032"/>
      <c r="AF756" s="1032"/>
      <c r="AG756" s="1741">
        <v>13</v>
      </c>
      <c r="AH756" s="1741"/>
      <c r="AI756" s="1741"/>
      <c r="AJ756" s="174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6" t="s">
        <v>592</v>
      </c>
      <c r="AE759" s="1746"/>
      <c r="AF759" s="174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48" t="s">
        <v>389</v>
      </c>
      <c r="K769" s="1349"/>
      <c r="L769" s="1349"/>
      <c r="M769" s="1349"/>
      <c r="N769" s="1350"/>
      <c r="O769" s="1627" t="s">
        <v>285</v>
      </c>
      <c r="P769" s="1627"/>
      <c r="Q769" s="1627"/>
      <c r="R769" s="1627"/>
      <c r="S769" s="1627"/>
      <c r="T769" s="1529" t="s">
        <v>1680</v>
      </c>
      <c r="U769" s="1530"/>
      <c r="V769" s="1530"/>
      <c r="W769" s="1531"/>
      <c r="X769" s="1348" t="s">
        <v>448</v>
      </c>
      <c r="Y769" s="1349"/>
      <c r="Z769" s="1349"/>
      <c r="AA769" s="1349"/>
      <c r="AB769" s="1350"/>
      <c r="AC769" s="1348" t="s">
        <v>286</v>
      </c>
      <c r="AD769" s="1349"/>
      <c r="AE769" s="1349"/>
      <c r="AF769" s="1349"/>
      <c r="AG769" s="135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51"/>
      <c r="K770" s="1352"/>
      <c r="L770" s="1352"/>
      <c r="M770" s="1352"/>
      <c r="N770" s="1353"/>
      <c r="O770" s="1627"/>
      <c r="P770" s="1627"/>
      <c r="Q770" s="1627"/>
      <c r="R770" s="1627"/>
      <c r="S770" s="1627"/>
      <c r="T770" s="1532"/>
      <c r="U770" s="1533"/>
      <c r="V770" s="1533"/>
      <c r="W770" s="1534"/>
      <c r="X770" s="1351"/>
      <c r="Y770" s="1352"/>
      <c r="Z770" s="1352"/>
      <c r="AA770" s="1352"/>
      <c r="AB770" s="1353"/>
      <c r="AC770" s="1351"/>
      <c r="AD770" s="1352"/>
      <c r="AE770" s="1352"/>
      <c r="AF770" s="1352"/>
      <c r="AG770" s="135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51"/>
      <c r="K771" s="1352"/>
      <c r="L771" s="1352"/>
      <c r="M771" s="1352"/>
      <c r="N771" s="1353"/>
      <c r="O771" s="1627"/>
      <c r="P771" s="1627"/>
      <c r="Q771" s="1627"/>
      <c r="R771" s="1627"/>
      <c r="S771" s="1627"/>
      <c r="T771" s="1532"/>
      <c r="U771" s="1533"/>
      <c r="V771" s="1533"/>
      <c r="W771" s="1534"/>
      <c r="X771" s="1351"/>
      <c r="Y771" s="1352"/>
      <c r="Z771" s="1352"/>
      <c r="AA771" s="1352"/>
      <c r="AB771" s="1353"/>
      <c r="AC771" s="1351"/>
      <c r="AD771" s="1352"/>
      <c r="AE771" s="1352"/>
      <c r="AF771" s="1352"/>
      <c r="AG771" s="135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54"/>
      <c r="K772" s="1355"/>
      <c r="L772" s="1355"/>
      <c r="M772" s="1355"/>
      <c r="N772" s="1356"/>
      <c r="O772" s="1627"/>
      <c r="P772" s="1627"/>
      <c r="Q772" s="1627"/>
      <c r="R772" s="1627"/>
      <c r="S772" s="1627"/>
      <c r="T772" s="1640"/>
      <c r="U772" s="1641"/>
      <c r="V772" s="1641"/>
      <c r="W772" s="1642"/>
      <c r="X772" s="1354"/>
      <c r="Y772" s="1355"/>
      <c r="Z772" s="1355"/>
      <c r="AA772" s="1355"/>
      <c r="AB772" s="1356"/>
      <c r="AC772" s="1354"/>
      <c r="AD772" s="1355"/>
      <c r="AE772" s="1355"/>
      <c r="AF772" s="1355"/>
      <c r="AG772" s="135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97" t="s">
        <v>163</v>
      </c>
      <c r="K773" s="1398"/>
      <c r="L773" s="1398"/>
      <c r="M773" s="1398"/>
      <c r="N773" s="1399"/>
      <c r="O773" s="1463">
        <v>1</v>
      </c>
      <c r="P773" s="1463"/>
      <c r="Q773" s="1463"/>
      <c r="R773" s="1463"/>
      <c r="S773" s="1463"/>
      <c r="T773" s="1622">
        <v>988</v>
      </c>
      <c r="U773" s="1623"/>
      <c r="V773" s="1623"/>
      <c r="W773" s="1624"/>
      <c r="X773" s="1500"/>
      <c r="Y773" s="1501"/>
      <c r="Z773" s="1501"/>
      <c r="AA773" s="1501"/>
      <c r="AB773" s="1502"/>
      <c r="AC773" s="1338">
        <f>X773*O773</f>
        <v>0</v>
      </c>
      <c r="AD773" s="1339"/>
      <c r="AE773" s="1339"/>
      <c r="AF773" s="1339"/>
      <c r="AG773" s="134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74">
        <f>IF(J773="SRO/Studio",O773,0)</f>
        <v>0</v>
      </c>
      <c r="CQ773" s="1375"/>
      <c r="CR773" s="1375"/>
      <c r="CS773" s="1375"/>
      <c r="CT773" s="1376"/>
      <c r="CU773" s="1396">
        <f>IF(J773="1 Bedroom",O773,0)</f>
        <v>0</v>
      </c>
      <c r="CV773" s="1396"/>
      <c r="CW773" s="1396"/>
      <c r="CX773" s="1396"/>
      <c r="CY773" s="1396"/>
      <c r="CZ773" s="1396">
        <f>IF(J773="2 Bedrooms",O773,0)</f>
        <v>1</v>
      </c>
      <c r="DA773" s="1396"/>
      <c r="DB773" s="1396"/>
      <c r="DC773" s="1396"/>
      <c r="DD773" s="1396"/>
      <c r="DE773" s="1396">
        <f>IF(J773="3 Bedrooms",O773,0)</f>
        <v>0</v>
      </c>
      <c r="DF773" s="1396"/>
      <c r="DG773" s="1396"/>
      <c r="DH773" s="1396"/>
      <c r="DI773" s="1396"/>
      <c r="DJ773" s="1396">
        <f>IF(J773="4 Bedrooms",O773,0)</f>
        <v>0</v>
      </c>
      <c r="DK773" s="1396"/>
      <c r="DL773" s="1396"/>
      <c r="DM773" s="1396"/>
      <c r="DN773" s="1396"/>
      <c r="DO773" s="1396">
        <f>IF(J773="5 Bedrooms",O773,0)</f>
        <v>0</v>
      </c>
      <c r="DP773" s="1396"/>
      <c r="DQ773" s="1396"/>
      <c r="DR773" s="1396"/>
      <c r="DS773" s="1396"/>
      <c r="DT773" s="6"/>
      <c r="DU773" s="3"/>
      <c r="DV773" s="3"/>
    </row>
    <row r="774" spans="1:126" ht="12.9" customHeight="1">
      <c r="J774" s="1397"/>
      <c r="K774" s="1398"/>
      <c r="L774" s="1398"/>
      <c r="M774" s="1398"/>
      <c r="N774" s="1399"/>
      <c r="O774" s="1463"/>
      <c r="P774" s="1463"/>
      <c r="Q774" s="1463"/>
      <c r="R774" s="1463"/>
      <c r="S774" s="1463"/>
      <c r="T774" s="1622"/>
      <c r="U774" s="1623"/>
      <c r="V774" s="1623"/>
      <c r="W774" s="1624"/>
      <c r="X774" s="1500"/>
      <c r="Y774" s="1501"/>
      <c r="Z774" s="1501"/>
      <c r="AA774" s="1501"/>
      <c r="AB774" s="1502"/>
      <c r="AC774" s="1338">
        <f>X774*O774</f>
        <v>0</v>
      </c>
      <c r="AD774" s="1339"/>
      <c r="AE774" s="1339"/>
      <c r="AF774" s="1339"/>
      <c r="AG774" s="134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74">
        <f>IF(J774="SRO/Studio",O774,0)</f>
        <v>0</v>
      </c>
      <c r="CQ774" s="1375"/>
      <c r="CR774" s="1375"/>
      <c r="CS774" s="1375"/>
      <c r="CT774" s="1376"/>
      <c r="CU774" s="1396">
        <f>IF(J774="1 Bedroom",O774,0)</f>
        <v>0</v>
      </c>
      <c r="CV774" s="1396"/>
      <c r="CW774" s="1396"/>
      <c r="CX774" s="1396"/>
      <c r="CY774" s="1396"/>
      <c r="CZ774" s="1396">
        <f>IF(J774="2 Bedrooms",O774,0)</f>
        <v>0</v>
      </c>
      <c r="DA774" s="1396"/>
      <c r="DB774" s="1396"/>
      <c r="DC774" s="1396"/>
      <c r="DD774" s="1396"/>
      <c r="DE774" s="1396">
        <f>IF(J774="3 Bedrooms",O774,0)</f>
        <v>0</v>
      </c>
      <c r="DF774" s="1396"/>
      <c r="DG774" s="1396"/>
      <c r="DH774" s="1396"/>
      <c r="DI774" s="1396"/>
      <c r="DJ774" s="1396">
        <f>IF(J774="4 Bedrooms",O774,0)</f>
        <v>0</v>
      </c>
      <c r="DK774" s="1396"/>
      <c r="DL774" s="1396"/>
      <c r="DM774" s="1396"/>
      <c r="DN774" s="1396"/>
      <c r="DO774" s="1396">
        <f>IF(J774="5 Bedrooms",O774,0)</f>
        <v>0</v>
      </c>
      <c r="DP774" s="1396"/>
      <c r="DQ774" s="1396"/>
      <c r="DR774" s="1396"/>
      <c r="DS774" s="1396"/>
      <c r="DT774" s="6"/>
      <c r="DU774" s="3"/>
      <c r="DV774" s="3"/>
    </row>
    <row r="775" spans="1:126" ht="12.9" customHeight="1">
      <c r="J775" s="1397"/>
      <c r="K775" s="1398"/>
      <c r="L775" s="1398"/>
      <c r="M775" s="1398"/>
      <c r="N775" s="1399"/>
      <c r="O775" s="1463"/>
      <c r="P775" s="1463"/>
      <c r="Q775" s="1463"/>
      <c r="R775" s="1463"/>
      <c r="S775" s="1463"/>
      <c r="T775" s="1622"/>
      <c r="U775" s="1623"/>
      <c r="V775" s="1623"/>
      <c r="W775" s="1624"/>
      <c r="X775" s="1500"/>
      <c r="Y775" s="1501"/>
      <c r="Z775" s="1501"/>
      <c r="AA775" s="1501"/>
      <c r="AB775" s="1502"/>
      <c r="AC775" s="1338">
        <f>X775*O775</f>
        <v>0</v>
      </c>
      <c r="AD775" s="1339"/>
      <c r="AE775" s="1339"/>
      <c r="AF775" s="1339"/>
      <c r="AG775" s="134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74">
        <f>IF(J775="SRO/Studio",O775,0)</f>
        <v>0</v>
      </c>
      <c r="CQ775" s="1375"/>
      <c r="CR775" s="1375"/>
      <c r="CS775" s="1375"/>
      <c r="CT775" s="1376"/>
      <c r="CU775" s="1396">
        <f>IF(J775="1 Bedroom",O775,0)</f>
        <v>0</v>
      </c>
      <c r="CV775" s="1396"/>
      <c r="CW775" s="1396"/>
      <c r="CX775" s="1396"/>
      <c r="CY775" s="1396"/>
      <c r="CZ775" s="1396">
        <f>IF(J775="2 Bedrooms",O775,0)</f>
        <v>0</v>
      </c>
      <c r="DA775" s="1396"/>
      <c r="DB775" s="1396"/>
      <c r="DC775" s="1396"/>
      <c r="DD775" s="1396"/>
      <c r="DE775" s="1396">
        <f>IF(J775="3 Bedrooms",O775,0)</f>
        <v>0</v>
      </c>
      <c r="DF775" s="1396"/>
      <c r="DG775" s="1396"/>
      <c r="DH775" s="1396"/>
      <c r="DI775" s="1396"/>
      <c r="DJ775" s="1396">
        <f>IF(J775="4 Bedrooms",O775,0)</f>
        <v>0</v>
      </c>
      <c r="DK775" s="1396"/>
      <c r="DL775" s="1396"/>
      <c r="DM775" s="1396"/>
      <c r="DN775" s="1396"/>
      <c r="DO775" s="1396">
        <f>IF(J775="5 Bedrooms",O775,0)</f>
        <v>0</v>
      </c>
      <c r="DP775" s="1396"/>
      <c r="DQ775" s="1396"/>
      <c r="DR775" s="1396"/>
      <c r="DS775" s="1396"/>
      <c r="DT775" s="1012"/>
    </row>
    <row r="776" spans="1:126" ht="12.9" customHeight="1">
      <c r="J776" s="1397"/>
      <c r="K776" s="1398"/>
      <c r="L776" s="1398"/>
      <c r="M776" s="1398"/>
      <c r="N776" s="1399"/>
      <c r="O776" s="1463"/>
      <c r="P776" s="1463"/>
      <c r="Q776" s="1463"/>
      <c r="R776" s="1463"/>
      <c r="S776" s="1463"/>
      <c r="T776" s="1622"/>
      <c r="U776" s="1623"/>
      <c r="V776" s="1623"/>
      <c r="W776" s="1624"/>
      <c r="X776" s="1500"/>
      <c r="Y776" s="1501"/>
      <c r="Z776" s="1501"/>
      <c r="AA776" s="1501"/>
      <c r="AB776" s="1502"/>
      <c r="AC776" s="1338">
        <f>X776*O776</f>
        <v>0</v>
      </c>
      <c r="AD776" s="1339"/>
      <c r="AE776" s="1339"/>
      <c r="AF776" s="1339"/>
      <c r="AG776" s="134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74">
        <f>IF(J776="SRO/Studio",O776,0)</f>
        <v>0</v>
      </c>
      <c r="CQ776" s="1375"/>
      <c r="CR776" s="1375"/>
      <c r="CS776" s="1375"/>
      <c r="CT776" s="1376"/>
      <c r="CU776" s="1396">
        <f>IF(J776="1 Bedroom",O776,0)</f>
        <v>0</v>
      </c>
      <c r="CV776" s="1396"/>
      <c r="CW776" s="1396"/>
      <c r="CX776" s="1396"/>
      <c r="CY776" s="1396"/>
      <c r="CZ776" s="1396">
        <f>IF(J776="2 Bedrooms",O776,0)</f>
        <v>0</v>
      </c>
      <c r="DA776" s="1396"/>
      <c r="DB776" s="1396"/>
      <c r="DC776" s="1396"/>
      <c r="DD776" s="1396"/>
      <c r="DE776" s="1396">
        <f>IF(J776="3 Bedrooms",O776,0)</f>
        <v>0</v>
      </c>
      <c r="DF776" s="1396"/>
      <c r="DG776" s="1396"/>
      <c r="DH776" s="1396"/>
      <c r="DI776" s="1396"/>
      <c r="DJ776" s="1396">
        <f>IF(J776="4 Bedrooms",O776,0)</f>
        <v>0</v>
      </c>
      <c r="DK776" s="1396"/>
      <c r="DL776" s="1396"/>
      <c r="DM776" s="1396"/>
      <c r="DN776" s="1396"/>
      <c r="DO776" s="1396">
        <f>IF(J776="5 Bedrooms",O776,0)</f>
        <v>0</v>
      </c>
      <c r="DP776" s="1396"/>
      <c r="DQ776" s="1396"/>
      <c r="DR776" s="1396"/>
      <c r="DS776" s="1396"/>
    </row>
    <row r="777" spans="1:126" ht="12.9" customHeight="1">
      <c r="J777" s="1516" t="s">
        <v>125</v>
      </c>
      <c r="K777" s="1517"/>
      <c r="L777" s="1517"/>
      <c r="M777" s="1517"/>
      <c r="N777" s="1519"/>
      <c r="O777" s="1377">
        <f>SUM(O773:S776)</f>
        <v>1</v>
      </c>
      <c r="P777" s="1378"/>
      <c r="Q777" s="1378"/>
      <c r="R777" s="1378"/>
      <c r="S777" s="1379"/>
      <c r="X777" s="1516" t="s">
        <v>124</v>
      </c>
      <c r="Y777" s="1517"/>
      <c r="Z777" s="1517"/>
      <c r="AA777" s="1517"/>
      <c r="AB777" s="1519"/>
      <c r="AC777" s="1338">
        <f>SUM(AC773:AG776)</f>
        <v>0</v>
      </c>
      <c r="AD777" s="1339"/>
      <c r="AE777" s="1339"/>
      <c r="AF777" s="1339"/>
      <c r="AG777" s="134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77">
        <f>SUM(CP773:CT776)</f>
        <v>0</v>
      </c>
      <c r="CQ777" s="1378"/>
      <c r="CR777" s="1378"/>
      <c r="CS777" s="1378"/>
      <c r="CT777" s="1379"/>
      <c r="CU777" s="1390">
        <f>SUM(CU773:CY776)</f>
        <v>0</v>
      </c>
      <c r="CV777" s="1391"/>
      <c r="CW777" s="1391"/>
      <c r="CX777" s="1391"/>
      <c r="CY777" s="1392"/>
      <c r="CZ777" s="1390">
        <f>SUM(CZ773:DD776)</f>
        <v>1</v>
      </c>
      <c r="DA777" s="1391"/>
      <c r="DB777" s="1391"/>
      <c r="DC777" s="1391"/>
      <c r="DD777" s="1392"/>
      <c r="DE777" s="1390">
        <f>SUM(DE773:DI776)</f>
        <v>0</v>
      </c>
      <c r="DF777" s="1391"/>
      <c r="DG777" s="1391"/>
      <c r="DH777" s="1391"/>
      <c r="DI777" s="1392"/>
      <c r="DJ777" s="1390">
        <f>SUM(DJ773:DN776)</f>
        <v>0</v>
      </c>
      <c r="DK777" s="1391"/>
      <c r="DL777" s="1391"/>
      <c r="DM777" s="1391"/>
      <c r="DN777" s="1392"/>
      <c r="DO777" s="1390">
        <f>SUM(DO773:DS776)</f>
        <v>0</v>
      </c>
      <c r="DP777" s="1391"/>
      <c r="DQ777" s="1391"/>
      <c r="DR777" s="1391"/>
      <c r="DS777" s="1392"/>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 customHeight="1">
      <c r="B779" s="56"/>
      <c r="C779" s="56"/>
      <c r="D779" s="56"/>
      <c r="E779" s="56"/>
      <c r="F779" s="56"/>
      <c r="G779" s="6"/>
      <c r="H779" s="6"/>
      <c r="I779" s="6"/>
      <c r="J779" s="1429" t="s">
        <v>670</v>
      </c>
      <c r="K779" s="142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48" t="s">
        <v>389</v>
      </c>
      <c r="K783" s="1349"/>
      <c r="L783" s="1349"/>
      <c r="M783" s="1349"/>
      <c r="N783" s="1350"/>
      <c r="O783" s="1627" t="s">
        <v>285</v>
      </c>
      <c r="P783" s="1627"/>
      <c r="Q783" s="1627"/>
      <c r="R783" s="1627"/>
      <c r="S783" s="1627"/>
      <c r="T783" s="1529" t="s">
        <v>1680</v>
      </c>
      <c r="U783" s="1530"/>
      <c r="V783" s="1530"/>
      <c r="W783" s="1531"/>
      <c r="X783" s="1348" t="s">
        <v>448</v>
      </c>
      <c r="Y783" s="1349"/>
      <c r="Z783" s="1349"/>
      <c r="AA783" s="1349"/>
      <c r="AB783" s="1350"/>
      <c r="AC783" s="1348" t="s">
        <v>286</v>
      </c>
      <c r="AD783" s="1349"/>
      <c r="AE783" s="1349"/>
      <c r="AF783" s="1349"/>
      <c r="AG783" s="13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51"/>
      <c r="K784" s="1352"/>
      <c r="L784" s="1352"/>
      <c r="M784" s="1352"/>
      <c r="N784" s="1353"/>
      <c r="O784" s="1627"/>
      <c r="P784" s="1627"/>
      <c r="Q784" s="1627"/>
      <c r="R784" s="1627"/>
      <c r="S784" s="1627"/>
      <c r="T784" s="1532"/>
      <c r="U784" s="1533"/>
      <c r="V784" s="1533"/>
      <c r="W784" s="1534"/>
      <c r="X784" s="1351"/>
      <c r="Y784" s="1352"/>
      <c r="Z784" s="1352"/>
      <c r="AA784" s="1352"/>
      <c r="AB784" s="1353"/>
      <c r="AC784" s="1351"/>
      <c r="AD784" s="1352"/>
      <c r="AE784" s="1352"/>
      <c r="AF784" s="1352"/>
      <c r="AG784" s="13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51"/>
      <c r="K785" s="1352"/>
      <c r="L785" s="1352"/>
      <c r="M785" s="1352"/>
      <c r="N785" s="1353"/>
      <c r="O785" s="1627"/>
      <c r="P785" s="1627"/>
      <c r="Q785" s="1627"/>
      <c r="R785" s="1627"/>
      <c r="S785" s="1627"/>
      <c r="T785" s="1532"/>
      <c r="U785" s="1533"/>
      <c r="V785" s="1533"/>
      <c r="W785" s="1534"/>
      <c r="X785" s="1351"/>
      <c r="Y785" s="1352"/>
      <c r="Z785" s="1352"/>
      <c r="AA785" s="1352"/>
      <c r="AB785" s="1353"/>
      <c r="AC785" s="1351"/>
      <c r="AD785" s="1352"/>
      <c r="AE785" s="1352"/>
      <c r="AF785" s="1352"/>
      <c r="AG785" s="13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54"/>
      <c r="K786" s="1355"/>
      <c r="L786" s="1355"/>
      <c r="M786" s="1355"/>
      <c r="N786" s="1356"/>
      <c r="O786" s="1627"/>
      <c r="P786" s="1627"/>
      <c r="Q786" s="1627"/>
      <c r="R786" s="1627"/>
      <c r="S786" s="1627"/>
      <c r="T786" s="1640"/>
      <c r="U786" s="1641"/>
      <c r="V786" s="1641"/>
      <c r="W786" s="1642"/>
      <c r="X786" s="1354"/>
      <c r="Y786" s="1355"/>
      <c r="Z786" s="1355"/>
      <c r="AA786" s="1355"/>
      <c r="AB786" s="1356"/>
      <c r="AC786" s="1354"/>
      <c r="AD786" s="1355"/>
      <c r="AE786" s="1355"/>
      <c r="AF786" s="1355"/>
      <c r="AG786" s="13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97"/>
      <c r="K787" s="1398"/>
      <c r="L787" s="1398"/>
      <c r="M787" s="1398"/>
      <c r="N787" s="1399"/>
      <c r="O787" s="1463"/>
      <c r="P787" s="1463"/>
      <c r="Q787" s="1463"/>
      <c r="R787" s="1463"/>
      <c r="S787" s="1463"/>
      <c r="T787" s="1622"/>
      <c r="U787" s="1623"/>
      <c r="V787" s="1623"/>
      <c r="W787" s="1624"/>
      <c r="X787" s="1500"/>
      <c r="Y787" s="1501"/>
      <c r="Z787" s="1501"/>
      <c r="AA787" s="1501"/>
      <c r="AB787" s="1502"/>
      <c r="AC787" s="1338">
        <f t="shared" ref="AC787:AC796" si="40">X787*O787</f>
        <v>0</v>
      </c>
      <c r="AD787" s="1339"/>
      <c r="AE787" s="1339"/>
      <c r="AF787" s="1339"/>
      <c r="AG787" s="134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74">
        <f t="shared" ref="CP787:CP796" si="41">IF(J787="SRO/Studio",O787,0)</f>
        <v>0</v>
      </c>
      <c r="CQ787" s="1375"/>
      <c r="CR787" s="1375"/>
      <c r="CS787" s="1375"/>
      <c r="CT787" s="1376"/>
      <c r="CU787" s="1374">
        <f t="shared" ref="CU787:CU796" si="42">IF(J787="1 Bedroom",O787,0)</f>
        <v>0</v>
      </c>
      <c r="CV787" s="1375"/>
      <c r="CW787" s="1375"/>
      <c r="CX787" s="1375"/>
      <c r="CY787" s="1376"/>
      <c r="CZ787" s="1374">
        <f t="shared" ref="CZ787:CZ796" si="43">IF(J787="2 Bedrooms",O787,0)</f>
        <v>0</v>
      </c>
      <c r="DA787" s="1375"/>
      <c r="DB787" s="1375"/>
      <c r="DC787" s="1375"/>
      <c r="DD787" s="1376"/>
      <c r="DE787" s="1374">
        <f t="shared" ref="DE787:DE796" si="44">IF(J787="3 Bedrooms",O787,0)</f>
        <v>0</v>
      </c>
      <c r="DF787" s="1375"/>
      <c r="DG787" s="1375"/>
      <c r="DH787" s="1375"/>
      <c r="DI787" s="1376"/>
      <c r="DJ787" s="1374">
        <f t="shared" ref="DJ787:DJ796" si="45">IF(J787="4 Bedrooms",O787,0)</f>
        <v>0</v>
      </c>
      <c r="DK787" s="1375"/>
      <c r="DL787" s="1375"/>
      <c r="DM787" s="1375"/>
      <c r="DN787" s="1376"/>
      <c r="DO787" s="1374">
        <f t="shared" ref="DO787:DO796" si="46">IF(J787="5 Bedrooms",O787,0)</f>
        <v>0</v>
      </c>
      <c r="DP787" s="1375"/>
      <c r="DQ787" s="1375"/>
      <c r="DR787" s="1375"/>
      <c r="DS787" s="1376"/>
      <c r="DT787" s="6"/>
      <c r="DU787" s="1374">
        <f t="shared" ref="DU787:DU796" si="47">IF(AND(CP787&gt;=1,AH787&gt;=0.1,AH787&lt;=1),O787,0)</f>
        <v>0</v>
      </c>
      <c r="DV787" s="1375"/>
      <c r="DW787" s="1375"/>
      <c r="DX787" s="1375"/>
      <c r="DY787" s="1376"/>
      <c r="DZ787" s="1374">
        <f t="shared" ref="DZ787:DZ796" si="48">IF(AND(CU787&gt;=1,AH787&gt;=0.1,AH787&lt;=1),O787,0)</f>
        <v>0</v>
      </c>
      <c r="EA787" s="1375"/>
      <c r="EB787" s="1375"/>
      <c r="EC787" s="1375"/>
      <c r="ED787" s="1376"/>
      <c r="EE787" s="1374">
        <f t="shared" ref="EE787:EE796" si="49">IF(AND(CZ787&gt;=1,AH787&gt;=0.1,AH787&lt;=1),O787,0)</f>
        <v>0</v>
      </c>
      <c r="EF787" s="1375"/>
      <c r="EG787" s="1375"/>
      <c r="EH787" s="1375"/>
      <c r="EI787" s="1376"/>
      <c r="EJ787" s="1374">
        <f t="shared" ref="EJ787:EJ796" si="50">IF(AND(DE787&gt;=1,AH787&gt;=0.1,AH787&lt;=1),O787,0)</f>
        <v>0</v>
      </c>
      <c r="EK787" s="1375"/>
      <c r="EL787" s="1375"/>
      <c r="EM787" s="1375"/>
      <c r="EN787" s="1376"/>
      <c r="EO787" s="1374">
        <f t="shared" ref="EO787:EO796" si="51">IF(AND(DJ787&gt;=1,AH787&gt;=0.1,AH787&lt;=1),O787,0)</f>
        <v>0</v>
      </c>
      <c r="EP787" s="1375"/>
      <c r="EQ787" s="1375"/>
      <c r="ER787" s="1375"/>
      <c r="ES787" s="1376"/>
      <c r="ET787" s="1374">
        <f t="shared" ref="ET787:ET796" si="52">IF(AND(DO787&gt;=1,AH787&gt;=0.1,AH787&lt;=1),O787,0)</f>
        <v>0</v>
      </c>
      <c r="EU787" s="1375"/>
      <c r="EV787" s="1375"/>
      <c r="EW787" s="1375"/>
      <c r="EX787" s="1376"/>
    </row>
    <row r="788" spans="1:154" s="14" customFormat="1" ht="12.9" customHeight="1">
      <c r="A788"/>
      <c r="B788"/>
      <c r="C788"/>
      <c r="D788"/>
      <c r="E788"/>
      <c r="F788"/>
      <c r="G788"/>
      <c r="H788"/>
      <c r="I788"/>
      <c r="J788" s="1397"/>
      <c r="K788" s="1398"/>
      <c r="L788" s="1398"/>
      <c r="M788" s="1398"/>
      <c r="N788" s="1399"/>
      <c r="O788" s="1463"/>
      <c r="P788" s="1463"/>
      <c r="Q788" s="1463"/>
      <c r="R788" s="1463"/>
      <c r="S788" s="1463"/>
      <c r="T788" s="1622"/>
      <c r="U788" s="1623"/>
      <c r="V788" s="1623"/>
      <c r="W788" s="1624"/>
      <c r="X788" s="1500"/>
      <c r="Y788" s="1501"/>
      <c r="Z788" s="1501"/>
      <c r="AA788" s="1501"/>
      <c r="AB788" s="1502"/>
      <c r="AC788" s="1338">
        <f t="shared" si="40"/>
        <v>0</v>
      </c>
      <c r="AD788" s="1339"/>
      <c r="AE788" s="1339"/>
      <c r="AF788" s="1339"/>
      <c r="AG788" s="134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74">
        <f t="shared" si="41"/>
        <v>0</v>
      </c>
      <c r="CQ788" s="1375"/>
      <c r="CR788" s="1375"/>
      <c r="CS788" s="1375"/>
      <c r="CT788" s="1376"/>
      <c r="CU788" s="1374">
        <f t="shared" si="42"/>
        <v>0</v>
      </c>
      <c r="CV788" s="1375"/>
      <c r="CW788" s="1375"/>
      <c r="CX788" s="1375"/>
      <c r="CY788" s="1376"/>
      <c r="CZ788" s="1374">
        <f t="shared" si="43"/>
        <v>0</v>
      </c>
      <c r="DA788" s="1375"/>
      <c r="DB788" s="1375"/>
      <c r="DC788" s="1375"/>
      <c r="DD788" s="1376"/>
      <c r="DE788" s="1374">
        <f t="shared" si="44"/>
        <v>0</v>
      </c>
      <c r="DF788" s="1375"/>
      <c r="DG788" s="1375"/>
      <c r="DH788" s="1375"/>
      <c r="DI788" s="1376"/>
      <c r="DJ788" s="1374">
        <f t="shared" si="45"/>
        <v>0</v>
      </c>
      <c r="DK788" s="1375"/>
      <c r="DL788" s="1375"/>
      <c r="DM788" s="1375"/>
      <c r="DN788" s="1376"/>
      <c r="DO788" s="1374">
        <f t="shared" si="46"/>
        <v>0</v>
      </c>
      <c r="DP788" s="1375"/>
      <c r="DQ788" s="1375"/>
      <c r="DR788" s="1375"/>
      <c r="DS788" s="1376"/>
      <c r="DT788" s="6"/>
      <c r="DU788" s="1374">
        <f t="shared" si="47"/>
        <v>0</v>
      </c>
      <c r="DV788" s="1375"/>
      <c r="DW788" s="1375"/>
      <c r="DX788" s="1375"/>
      <c r="DY788" s="1376"/>
      <c r="DZ788" s="1374">
        <f t="shared" si="48"/>
        <v>0</v>
      </c>
      <c r="EA788" s="1375"/>
      <c r="EB788" s="1375"/>
      <c r="EC788" s="1375"/>
      <c r="ED788" s="1376"/>
      <c r="EE788" s="1374">
        <f t="shared" si="49"/>
        <v>0</v>
      </c>
      <c r="EF788" s="1375"/>
      <c r="EG788" s="1375"/>
      <c r="EH788" s="1375"/>
      <c r="EI788" s="1376"/>
      <c r="EJ788" s="1374">
        <f t="shared" si="50"/>
        <v>0</v>
      </c>
      <c r="EK788" s="1375"/>
      <c r="EL788" s="1375"/>
      <c r="EM788" s="1375"/>
      <c r="EN788" s="1376"/>
      <c r="EO788" s="1374">
        <f t="shared" si="51"/>
        <v>0</v>
      </c>
      <c r="EP788" s="1375"/>
      <c r="EQ788" s="1375"/>
      <c r="ER788" s="1375"/>
      <c r="ES788" s="1376"/>
      <c r="ET788" s="1374">
        <f t="shared" si="52"/>
        <v>0</v>
      </c>
      <c r="EU788" s="1375"/>
      <c r="EV788" s="1375"/>
      <c r="EW788" s="1375"/>
      <c r="EX788" s="1376"/>
    </row>
    <row r="789" spans="1:154" s="14" customFormat="1" ht="12.9" customHeight="1">
      <c r="A789"/>
      <c r="B789"/>
      <c r="C789"/>
      <c r="D789"/>
      <c r="E789"/>
      <c r="F789"/>
      <c r="G789"/>
      <c r="H789"/>
      <c r="I789"/>
      <c r="J789" s="1397"/>
      <c r="K789" s="1398"/>
      <c r="L789" s="1398"/>
      <c r="M789" s="1398"/>
      <c r="N789" s="1399"/>
      <c r="O789" s="1463"/>
      <c r="P789" s="1463"/>
      <c r="Q789" s="1463"/>
      <c r="R789" s="1463"/>
      <c r="S789" s="1463"/>
      <c r="T789" s="1622"/>
      <c r="U789" s="1623"/>
      <c r="V789" s="1623"/>
      <c r="W789" s="1624"/>
      <c r="X789" s="1500"/>
      <c r="Y789" s="1501"/>
      <c r="Z789" s="1501"/>
      <c r="AA789" s="1501"/>
      <c r="AB789" s="1502"/>
      <c r="AC789" s="1338">
        <f t="shared" si="40"/>
        <v>0</v>
      </c>
      <c r="AD789" s="1339"/>
      <c r="AE789" s="1339"/>
      <c r="AF789" s="1339"/>
      <c r="AG789" s="134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74">
        <f t="shared" si="41"/>
        <v>0</v>
      </c>
      <c r="CQ789" s="1375"/>
      <c r="CR789" s="1375"/>
      <c r="CS789" s="1375"/>
      <c r="CT789" s="1376"/>
      <c r="CU789" s="1374">
        <f t="shared" si="42"/>
        <v>0</v>
      </c>
      <c r="CV789" s="1375"/>
      <c r="CW789" s="1375"/>
      <c r="CX789" s="1375"/>
      <c r="CY789" s="1376"/>
      <c r="CZ789" s="1374">
        <f t="shared" si="43"/>
        <v>0</v>
      </c>
      <c r="DA789" s="1375"/>
      <c r="DB789" s="1375"/>
      <c r="DC789" s="1375"/>
      <c r="DD789" s="1376"/>
      <c r="DE789" s="1374">
        <f t="shared" si="44"/>
        <v>0</v>
      </c>
      <c r="DF789" s="1375"/>
      <c r="DG789" s="1375"/>
      <c r="DH789" s="1375"/>
      <c r="DI789" s="1376"/>
      <c r="DJ789" s="1374">
        <f t="shared" si="45"/>
        <v>0</v>
      </c>
      <c r="DK789" s="1375"/>
      <c r="DL789" s="1375"/>
      <c r="DM789" s="1375"/>
      <c r="DN789" s="1376"/>
      <c r="DO789" s="1374">
        <f t="shared" si="46"/>
        <v>0</v>
      </c>
      <c r="DP789" s="1375"/>
      <c r="DQ789" s="1375"/>
      <c r="DR789" s="1375"/>
      <c r="DS789" s="1376"/>
      <c r="DT789" s="6"/>
      <c r="DU789" s="1374">
        <f t="shared" si="47"/>
        <v>0</v>
      </c>
      <c r="DV789" s="1375"/>
      <c r="DW789" s="1375"/>
      <c r="DX789" s="1375"/>
      <c r="DY789" s="1376"/>
      <c r="DZ789" s="1374">
        <f t="shared" si="48"/>
        <v>0</v>
      </c>
      <c r="EA789" s="1375"/>
      <c r="EB789" s="1375"/>
      <c r="EC789" s="1375"/>
      <c r="ED789" s="1376"/>
      <c r="EE789" s="1374">
        <f t="shared" si="49"/>
        <v>0</v>
      </c>
      <c r="EF789" s="1375"/>
      <c r="EG789" s="1375"/>
      <c r="EH789" s="1375"/>
      <c r="EI789" s="1376"/>
      <c r="EJ789" s="1374">
        <f t="shared" si="50"/>
        <v>0</v>
      </c>
      <c r="EK789" s="1375"/>
      <c r="EL789" s="1375"/>
      <c r="EM789" s="1375"/>
      <c r="EN789" s="1376"/>
      <c r="EO789" s="1374">
        <f t="shared" si="51"/>
        <v>0</v>
      </c>
      <c r="EP789" s="1375"/>
      <c r="EQ789" s="1375"/>
      <c r="ER789" s="1375"/>
      <c r="ES789" s="1376"/>
      <c r="ET789" s="1374">
        <f t="shared" si="52"/>
        <v>0</v>
      </c>
      <c r="EU789" s="1375"/>
      <c r="EV789" s="1375"/>
      <c r="EW789" s="1375"/>
      <c r="EX789" s="1376"/>
    </row>
    <row r="790" spans="1:154" s="14" customFormat="1" ht="12.9" customHeight="1">
      <c r="A790"/>
      <c r="B790"/>
      <c r="C790"/>
      <c r="D790"/>
      <c r="E790"/>
      <c r="F790"/>
      <c r="G790"/>
      <c r="H790"/>
      <c r="I790"/>
      <c r="J790" s="1397"/>
      <c r="K790" s="1398"/>
      <c r="L790" s="1398"/>
      <c r="M790" s="1398"/>
      <c r="N790" s="1399"/>
      <c r="O790" s="1463"/>
      <c r="P790" s="1463"/>
      <c r="Q790" s="1463"/>
      <c r="R790" s="1463"/>
      <c r="S790" s="1463"/>
      <c r="T790" s="1622"/>
      <c r="U790" s="1623"/>
      <c r="V790" s="1623"/>
      <c r="W790" s="1624"/>
      <c r="X790" s="1500"/>
      <c r="Y790" s="1501"/>
      <c r="Z790" s="1501"/>
      <c r="AA790" s="1501"/>
      <c r="AB790" s="1502"/>
      <c r="AC790" s="1338">
        <f t="shared" si="40"/>
        <v>0</v>
      </c>
      <c r="AD790" s="1339"/>
      <c r="AE790" s="1339"/>
      <c r="AF790" s="1339"/>
      <c r="AG790" s="134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74">
        <f t="shared" si="41"/>
        <v>0</v>
      </c>
      <c r="CQ790" s="1375"/>
      <c r="CR790" s="1375"/>
      <c r="CS790" s="1375"/>
      <c r="CT790" s="1376"/>
      <c r="CU790" s="1374">
        <f t="shared" si="42"/>
        <v>0</v>
      </c>
      <c r="CV790" s="1375"/>
      <c r="CW790" s="1375"/>
      <c r="CX790" s="1375"/>
      <c r="CY790" s="1376"/>
      <c r="CZ790" s="1374">
        <f t="shared" si="43"/>
        <v>0</v>
      </c>
      <c r="DA790" s="1375"/>
      <c r="DB790" s="1375"/>
      <c r="DC790" s="1375"/>
      <c r="DD790" s="1376"/>
      <c r="DE790" s="1374">
        <f t="shared" si="44"/>
        <v>0</v>
      </c>
      <c r="DF790" s="1375"/>
      <c r="DG790" s="1375"/>
      <c r="DH790" s="1375"/>
      <c r="DI790" s="1376"/>
      <c r="DJ790" s="1374">
        <f t="shared" si="45"/>
        <v>0</v>
      </c>
      <c r="DK790" s="1375"/>
      <c r="DL790" s="1375"/>
      <c r="DM790" s="1375"/>
      <c r="DN790" s="1376"/>
      <c r="DO790" s="1374">
        <f t="shared" si="46"/>
        <v>0</v>
      </c>
      <c r="DP790" s="1375"/>
      <c r="DQ790" s="1375"/>
      <c r="DR790" s="1375"/>
      <c r="DS790" s="1376"/>
      <c r="DT790" s="6"/>
      <c r="DU790" s="1374">
        <f t="shared" si="47"/>
        <v>0</v>
      </c>
      <c r="DV790" s="1375"/>
      <c r="DW790" s="1375"/>
      <c r="DX790" s="1375"/>
      <c r="DY790" s="1376"/>
      <c r="DZ790" s="1374">
        <f t="shared" si="48"/>
        <v>0</v>
      </c>
      <c r="EA790" s="1375"/>
      <c r="EB790" s="1375"/>
      <c r="EC790" s="1375"/>
      <c r="ED790" s="1376"/>
      <c r="EE790" s="1374">
        <f t="shared" si="49"/>
        <v>0</v>
      </c>
      <c r="EF790" s="1375"/>
      <c r="EG790" s="1375"/>
      <c r="EH790" s="1375"/>
      <c r="EI790" s="1376"/>
      <c r="EJ790" s="1374">
        <f t="shared" si="50"/>
        <v>0</v>
      </c>
      <c r="EK790" s="1375"/>
      <c r="EL790" s="1375"/>
      <c r="EM790" s="1375"/>
      <c r="EN790" s="1376"/>
      <c r="EO790" s="1374">
        <f t="shared" si="51"/>
        <v>0</v>
      </c>
      <c r="EP790" s="1375"/>
      <c r="EQ790" s="1375"/>
      <c r="ER790" s="1375"/>
      <c r="ES790" s="1376"/>
      <c r="ET790" s="1374">
        <f t="shared" si="52"/>
        <v>0</v>
      </c>
      <c r="EU790" s="1375"/>
      <c r="EV790" s="1375"/>
      <c r="EW790" s="1375"/>
      <c r="EX790" s="1376"/>
    </row>
    <row r="791" spans="1:154" s="14" customFormat="1" ht="12.9" customHeight="1">
      <c r="A791"/>
      <c r="B791"/>
      <c r="C791"/>
      <c r="D791"/>
      <c r="E791"/>
      <c r="F791"/>
      <c r="G791"/>
      <c r="H791"/>
      <c r="I791"/>
      <c r="J791" s="1397"/>
      <c r="K791" s="1398"/>
      <c r="L791" s="1398"/>
      <c r="M791" s="1398"/>
      <c r="N791" s="1399"/>
      <c r="O791" s="1463"/>
      <c r="P791" s="1463"/>
      <c r="Q791" s="1463"/>
      <c r="R791" s="1463"/>
      <c r="S791" s="1463"/>
      <c r="T791" s="1622"/>
      <c r="U791" s="1623"/>
      <c r="V791" s="1623"/>
      <c r="W791" s="1624"/>
      <c r="X791" s="1500"/>
      <c r="Y791" s="1501"/>
      <c r="Z791" s="1501"/>
      <c r="AA791" s="1501"/>
      <c r="AB791" s="1502"/>
      <c r="AC791" s="1338">
        <f t="shared" si="40"/>
        <v>0</v>
      </c>
      <c r="AD791" s="1339"/>
      <c r="AE791" s="1339"/>
      <c r="AF791" s="1339"/>
      <c r="AG791" s="134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74">
        <f t="shared" si="41"/>
        <v>0</v>
      </c>
      <c r="CQ791" s="1375"/>
      <c r="CR791" s="1375"/>
      <c r="CS791" s="1375"/>
      <c r="CT791" s="1376"/>
      <c r="CU791" s="1374">
        <f t="shared" si="42"/>
        <v>0</v>
      </c>
      <c r="CV791" s="1375"/>
      <c r="CW791" s="1375"/>
      <c r="CX791" s="1375"/>
      <c r="CY791" s="1376"/>
      <c r="CZ791" s="1374">
        <f t="shared" si="43"/>
        <v>0</v>
      </c>
      <c r="DA791" s="1375"/>
      <c r="DB791" s="1375"/>
      <c r="DC791" s="1375"/>
      <c r="DD791" s="1376"/>
      <c r="DE791" s="1374">
        <f t="shared" si="44"/>
        <v>0</v>
      </c>
      <c r="DF791" s="1375"/>
      <c r="DG791" s="1375"/>
      <c r="DH791" s="1375"/>
      <c r="DI791" s="1376"/>
      <c r="DJ791" s="1374">
        <f t="shared" si="45"/>
        <v>0</v>
      </c>
      <c r="DK791" s="1375"/>
      <c r="DL791" s="1375"/>
      <c r="DM791" s="1375"/>
      <c r="DN791" s="1376"/>
      <c r="DO791" s="1374">
        <f t="shared" si="46"/>
        <v>0</v>
      </c>
      <c r="DP791" s="1375"/>
      <c r="DQ791" s="1375"/>
      <c r="DR791" s="1375"/>
      <c r="DS791" s="1376"/>
      <c r="DT791" s="6"/>
      <c r="DU791" s="1374">
        <f t="shared" si="47"/>
        <v>0</v>
      </c>
      <c r="DV791" s="1375"/>
      <c r="DW791" s="1375"/>
      <c r="DX791" s="1375"/>
      <c r="DY791" s="1376"/>
      <c r="DZ791" s="1374">
        <f t="shared" si="48"/>
        <v>0</v>
      </c>
      <c r="EA791" s="1375"/>
      <c r="EB791" s="1375"/>
      <c r="EC791" s="1375"/>
      <c r="ED791" s="1376"/>
      <c r="EE791" s="1374">
        <f t="shared" si="49"/>
        <v>0</v>
      </c>
      <c r="EF791" s="1375"/>
      <c r="EG791" s="1375"/>
      <c r="EH791" s="1375"/>
      <c r="EI791" s="1376"/>
      <c r="EJ791" s="1374">
        <f t="shared" si="50"/>
        <v>0</v>
      </c>
      <c r="EK791" s="1375"/>
      <c r="EL791" s="1375"/>
      <c r="EM791" s="1375"/>
      <c r="EN791" s="1376"/>
      <c r="EO791" s="1374">
        <f t="shared" si="51"/>
        <v>0</v>
      </c>
      <c r="EP791" s="1375"/>
      <c r="EQ791" s="1375"/>
      <c r="ER791" s="1375"/>
      <c r="ES791" s="1376"/>
      <c r="ET791" s="1374">
        <f t="shared" si="52"/>
        <v>0</v>
      </c>
      <c r="EU791" s="1375"/>
      <c r="EV791" s="1375"/>
      <c r="EW791" s="1375"/>
      <c r="EX791" s="1376"/>
    </row>
    <row r="792" spans="1:154" s="14" customFormat="1" ht="12.9" customHeight="1">
      <c r="A792"/>
      <c r="B792"/>
      <c r="C792"/>
      <c r="D792"/>
      <c r="E792"/>
      <c r="F792"/>
      <c r="G792"/>
      <c r="H792"/>
      <c r="I792"/>
      <c r="J792" s="1397"/>
      <c r="K792" s="1398"/>
      <c r="L792" s="1398"/>
      <c r="M792" s="1398"/>
      <c r="N792" s="1399"/>
      <c r="O792" s="1463"/>
      <c r="P792" s="1463"/>
      <c r="Q792" s="1463"/>
      <c r="R792" s="1463"/>
      <c r="S792" s="1463"/>
      <c r="T792" s="1622"/>
      <c r="U792" s="1623"/>
      <c r="V792" s="1623"/>
      <c r="W792" s="1624"/>
      <c r="X792" s="1500"/>
      <c r="Y792" s="1501"/>
      <c r="Z792" s="1501"/>
      <c r="AA792" s="1501"/>
      <c r="AB792" s="1502"/>
      <c r="AC792" s="1338">
        <f t="shared" si="40"/>
        <v>0</v>
      </c>
      <c r="AD792" s="1339"/>
      <c r="AE792" s="1339"/>
      <c r="AF792" s="1339"/>
      <c r="AG792" s="134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74">
        <f t="shared" si="41"/>
        <v>0</v>
      </c>
      <c r="CQ792" s="1375"/>
      <c r="CR792" s="1375"/>
      <c r="CS792" s="1375"/>
      <c r="CT792" s="1376"/>
      <c r="CU792" s="1374">
        <f t="shared" si="42"/>
        <v>0</v>
      </c>
      <c r="CV792" s="1375"/>
      <c r="CW792" s="1375"/>
      <c r="CX792" s="1375"/>
      <c r="CY792" s="1376"/>
      <c r="CZ792" s="1374">
        <f t="shared" si="43"/>
        <v>0</v>
      </c>
      <c r="DA792" s="1375"/>
      <c r="DB792" s="1375"/>
      <c r="DC792" s="1375"/>
      <c r="DD792" s="1376"/>
      <c r="DE792" s="1374">
        <f t="shared" si="44"/>
        <v>0</v>
      </c>
      <c r="DF792" s="1375"/>
      <c r="DG792" s="1375"/>
      <c r="DH792" s="1375"/>
      <c r="DI792" s="1376"/>
      <c r="DJ792" s="1374">
        <f t="shared" si="45"/>
        <v>0</v>
      </c>
      <c r="DK792" s="1375"/>
      <c r="DL792" s="1375"/>
      <c r="DM792" s="1375"/>
      <c r="DN792" s="1376"/>
      <c r="DO792" s="1374">
        <f t="shared" si="46"/>
        <v>0</v>
      </c>
      <c r="DP792" s="1375"/>
      <c r="DQ792" s="1375"/>
      <c r="DR792" s="1375"/>
      <c r="DS792" s="1376"/>
      <c r="DT792" s="6"/>
      <c r="DU792" s="1374">
        <f t="shared" si="47"/>
        <v>0</v>
      </c>
      <c r="DV792" s="1375"/>
      <c r="DW792" s="1375"/>
      <c r="DX792" s="1375"/>
      <c r="DY792" s="1376"/>
      <c r="DZ792" s="1374">
        <f t="shared" si="48"/>
        <v>0</v>
      </c>
      <c r="EA792" s="1375"/>
      <c r="EB792" s="1375"/>
      <c r="EC792" s="1375"/>
      <c r="ED792" s="1376"/>
      <c r="EE792" s="1374">
        <f t="shared" si="49"/>
        <v>0</v>
      </c>
      <c r="EF792" s="1375"/>
      <c r="EG792" s="1375"/>
      <c r="EH792" s="1375"/>
      <c r="EI792" s="1376"/>
      <c r="EJ792" s="1374">
        <f t="shared" si="50"/>
        <v>0</v>
      </c>
      <c r="EK792" s="1375"/>
      <c r="EL792" s="1375"/>
      <c r="EM792" s="1375"/>
      <c r="EN792" s="1376"/>
      <c r="EO792" s="1374">
        <f t="shared" si="51"/>
        <v>0</v>
      </c>
      <c r="EP792" s="1375"/>
      <c r="EQ792" s="1375"/>
      <c r="ER792" s="1375"/>
      <c r="ES792" s="1376"/>
      <c r="ET792" s="1374">
        <f t="shared" si="52"/>
        <v>0</v>
      </c>
      <c r="EU792" s="1375"/>
      <c r="EV792" s="1375"/>
      <c r="EW792" s="1375"/>
      <c r="EX792" s="1376"/>
    </row>
    <row r="793" spans="1:154" s="14" customFormat="1" ht="12.9" customHeight="1">
      <c r="A793"/>
      <c r="B793"/>
      <c r="C793"/>
      <c r="D793"/>
      <c r="E793"/>
      <c r="F793"/>
      <c r="G793"/>
      <c r="H793"/>
      <c r="I793"/>
      <c r="J793" s="1397"/>
      <c r="K793" s="1398"/>
      <c r="L793" s="1398"/>
      <c r="M793" s="1398"/>
      <c r="N793" s="1399"/>
      <c r="O793" s="1463"/>
      <c r="P793" s="1463"/>
      <c r="Q793" s="1463"/>
      <c r="R793" s="1463"/>
      <c r="S793" s="1463"/>
      <c r="T793" s="1622"/>
      <c r="U793" s="1623"/>
      <c r="V793" s="1623"/>
      <c r="W793" s="1624"/>
      <c r="X793" s="1500"/>
      <c r="Y793" s="1501"/>
      <c r="Z793" s="1501"/>
      <c r="AA793" s="1501"/>
      <c r="AB793" s="1502"/>
      <c r="AC793" s="1338">
        <f t="shared" si="40"/>
        <v>0</v>
      </c>
      <c r="AD793" s="1339"/>
      <c r="AE793" s="1339"/>
      <c r="AF793" s="1339"/>
      <c r="AG793" s="134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74">
        <f t="shared" si="41"/>
        <v>0</v>
      </c>
      <c r="CQ793" s="1375"/>
      <c r="CR793" s="1375"/>
      <c r="CS793" s="1375"/>
      <c r="CT793" s="1376"/>
      <c r="CU793" s="1374">
        <f t="shared" si="42"/>
        <v>0</v>
      </c>
      <c r="CV793" s="1375"/>
      <c r="CW793" s="1375"/>
      <c r="CX793" s="1375"/>
      <c r="CY793" s="1376"/>
      <c r="CZ793" s="1374">
        <f t="shared" si="43"/>
        <v>0</v>
      </c>
      <c r="DA793" s="1375"/>
      <c r="DB793" s="1375"/>
      <c r="DC793" s="1375"/>
      <c r="DD793" s="1376"/>
      <c r="DE793" s="1374">
        <f t="shared" si="44"/>
        <v>0</v>
      </c>
      <c r="DF793" s="1375"/>
      <c r="DG793" s="1375"/>
      <c r="DH793" s="1375"/>
      <c r="DI793" s="1376"/>
      <c r="DJ793" s="1374">
        <f t="shared" si="45"/>
        <v>0</v>
      </c>
      <c r="DK793" s="1375"/>
      <c r="DL793" s="1375"/>
      <c r="DM793" s="1375"/>
      <c r="DN793" s="1376"/>
      <c r="DO793" s="1374">
        <f t="shared" si="46"/>
        <v>0</v>
      </c>
      <c r="DP793" s="1375"/>
      <c r="DQ793" s="1375"/>
      <c r="DR793" s="1375"/>
      <c r="DS793" s="1376"/>
      <c r="DT793" s="6"/>
      <c r="DU793" s="1374">
        <f t="shared" si="47"/>
        <v>0</v>
      </c>
      <c r="DV793" s="1375"/>
      <c r="DW793" s="1375"/>
      <c r="DX793" s="1375"/>
      <c r="DY793" s="1376"/>
      <c r="DZ793" s="1374">
        <f t="shared" si="48"/>
        <v>0</v>
      </c>
      <c r="EA793" s="1375"/>
      <c r="EB793" s="1375"/>
      <c r="EC793" s="1375"/>
      <c r="ED793" s="1376"/>
      <c r="EE793" s="1374">
        <f t="shared" si="49"/>
        <v>0</v>
      </c>
      <c r="EF793" s="1375"/>
      <c r="EG793" s="1375"/>
      <c r="EH793" s="1375"/>
      <c r="EI793" s="1376"/>
      <c r="EJ793" s="1374">
        <f t="shared" si="50"/>
        <v>0</v>
      </c>
      <c r="EK793" s="1375"/>
      <c r="EL793" s="1375"/>
      <c r="EM793" s="1375"/>
      <c r="EN793" s="1376"/>
      <c r="EO793" s="1374">
        <f t="shared" si="51"/>
        <v>0</v>
      </c>
      <c r="EP793" s="1375"/>
      <c r="EQ793" s="1375"/>
      <c r="ER793" s="1375"/>
      <c r="ES793" s="1376"/>
      <c r="ET793" s="1374">
        <f t="shared" si="52"/>
        <v>0</v>
      </c>
      <c r="EU793" s="1375"/>
      <c r="EV793" s="1375"/>
      <c r="EW793" s="1375"/>
      <c r="EX793" s="1376"/>
    </row>
    <row r="794" spans="1:154" s="14" customFormat="1" ht="12.9" customHeight="1">
      <c r="A794"/>
      <c r="B794"/>
      <c r="C794"/>
      <c r="D794"/>
      <c r="E794"/>
      <c r="F794"/>
      <c r="G794"/>
      <c r="H794"/>
      <c r="I794"/>
      <c r="J794" s="1397"/>
      <c r="K794" s="1398"/>
      <c r="L794" s="1398"/>
      <c r="M794" s="1398"/>
      <c r="N794" s="1399"/>
      <c r="O794" s="1463"/>
      <c r="P794" s="1463"/>
      <c r="Q794" s="1463"/>
      <c r="R794" s="1463"/>
      <c r="S794" s="1463"/>
      <c r="T794" s="1622"/>
      <c r="U794" s="1623"/>
      <c r="V794" s="1623"/>
      <c r="W794" s="1624"/>
      <c r="X794" s="1500"/>
      <c r="Y794" s="1501"/>
      <c r="Z794" s="1501"/>
      <c r="AA794" s="1501"/>
      <c r="AB794" s="1502"/>
      <c r="AC794" s="1338">
        <f t="shared" si="40"/>
        <v>0</v>
      </c>
      <c r="AD794" s="1339"/>
      <c r="AE794" s="1339"/>
      <c r="AF794" s="1339"/>
      <c r="AG794" s="134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74">
        <f t="shared" si="41"/>
        <v>0</v>
      </c>
      <c r="CQ794" s="1375"/>
      <c r="CR794" s="1375"/>
      <c r="CS794" s="1375"/>
      <c r="CT794" s="1376"/>
      <c r="CU794" s="1374">
        <f t="shared" si="42"/>
        <v>0</v>
      </c>
      <c r="CV794" s="1375"/>
      <c r="CW794" s="1375"/>
      <c r="CX794" s="1375"/>
      <c r="CY794" s="1376"/>
      <c r="CZ794" s="1374">
        <f t="shared" si="43"/>
        <v>0</v>
      </c>
      <c r="DA794" s="1375"/>
      <c r="DB794" s="1375"/>
      <c r="DC794" s="1375"/>
      <c r="DD794" s="1376"/>
      <c r="DE794" s="1374">
        <f t="shared" si="44"/>
        <v>0</v>
      </c>
      <c r="DF794" s="1375"/>
      <c r="DG794" s="1375"/>
      <c r="DH794" s="1375"/>
      <c r="DI794" s="1376"/>
      <c r="DJ794" s="1374">
        <f t="shared" si="45"/>
        <v>0</v>
      </c>
      <c r="DK794" s="1375"/>
      <c r="DL794" s="1375"/>
      <c r="DM794" s="1375"/>
      <c r="DN794" s="1376"/>
      <c r="DO794" s="1374">
        <f t="shared" si="46"/>
        <v>0</v>
      </c>
      <c r="DP794" s="1375"/>
      <c r="DQ794" s="1375"/>
      <c r="DR794" s="1375"/>
      <c r="DS794" s="1376"/>
      <c r="DT794" s="6"/>
      <c r="DU794" s="1374">
        <f t="shared" si="47"/>
        <v>0</v>
      </c>
      <c r="DV794" s="1375"/>
      <c r="DW794" s="1375"/>
      <c r="DX794" s="1375"/>
      <c r="DY794" s="1376"/>
      <c r="DZ794" s="1374">
        <f t="shared" si="48"/>
        <v>0</v>
      </c>
      <c r="EA794" s="1375"/>
      <c r="EB794" s="1375"/>
      <c r="EC794" s="1375"/>
      <c r="ED794" s="1376"/>
      <c r="EE794" s="1374">
        <f t="shared" si="49"/>
        <v>0</v>
      </c>
      <c r="EF794" s="1375"/>
      <c r="EG794" s="1375"/>
      <c r="EH794" s="1375"/>
      <c r="EI794" s="1376"/>
      <c r="EJ794" s="1374">
        <f t="shared" si="50"/>
        <v>0</v>
      </c>
      <c r="EK794" s="1375"/>
      <c r="EL794" s="1375"/>
      <c r="EM794" s="1375"/>
      <c r="EN794" s="1376"/>
      <c r="EO794" s="1374">
        <f t="shared" si="51"/>
        <v>0</v>
      </c>
      <c r="EP794" s="1375"/>
      <c r="EQ794" s="1375"/>
      <c r="ER794" s="1375"/>
      <c r="ES794" s="1376"/>
      <c r="ET794" s="1374">
        <f t="shared" si="52"/>
        <v>0</v>
      </c>
      <c r="EU794" s="1375"/>
      <c r="EV794" s="1375"/>
      <c r="EW794" s="1375"/>
      <c r="EX794" s="1376"/>
    </row>
    <row r="795" spans="1:154" s="14" customFormat="1" ht="12.9" customHeight="1">
      <c r="A795"/>
      <c r="B795"/>
      <c r="C795"/>
      <c r="D795"/>
      <c r="E795"/>
      <c r="F795"/>
      <c r="G795"/>
      <c r="H795"/>
      <c r="I795"/>
      <c r="J795" s="1397"/>
      <c r="K795" s="1398"/>
      <c r="L795" s="1398"/>
      <c r="M795" s="1398"/>
      <c r="N795" s="1399"/>
      <c r="O795" s="1463"/>
      <c r="P795" s="1463"/>
      <c r="Q795" s="1463"/>
      <c r="R795" s="1463"/>
      <c r="S795" s="1463"/>
      <c r="T795" s="1622"/>
      <c r="U795" s="1623"/>
      <c r="V795" s="1623"/>
      <c r="W795" s="1624"/>
      <c r="X795" s="1500"/>
      <c r="Y795" s="1501"/>
      <c r="Z795" s="1501"/>
      <c r="AA795" s="1501"/>
      <c r="AB795" s="1502"/>
      <c r="AC795" s="1338">
        <f t="shared" si="40"/>
        <v>0</v>
      </c>
      <c r="AD795" s="1339"/>
      <c r="AE795" s="1339"/>
      <c r="AF795" s="1339"/>
      <c r="AG795" s="134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74">
        <f t="shared" si="41"/>
        <v>0</v>
      </c>
      <c r="CQ795" s="1375"/>
      <c r="CR795" s="1375"/>
      <c r="CS795" s="1375"/>
      <c r="CT795" s="1376"/>
      <c r="CU795" s="1374">
        <f t="shared" si="42"/>
        <v>0</v>
      </c>
      <c r="CV795" s="1375"/>
      <c r="CW795" s="1375"/>
      <c r="CX795" s="1375"/>
      <c r="CY795" s="1376"/>
      <c r="CZ795" s="1374">
        <f t="shared" si="43"/>
        <v>0</v>
      </c>
      <c r="DA795" s="1375"/>
      <c r="DB795" s="1375"/>
      <c r="DC795" s="1375"/>
      <c r="DD795" s="1376"/>
      <c r="DE795" s="1374">
        <f t="shared" si="44"/>
        <v>0</v>
      </c>
      <c r="DF795" s="1375"/>
      <c r="DG795" s="1375"/>
      <c r="DH795" s="1375"/>
      <c r="DI795" s="1376"/>
      <c r="DJ795" s="1374">
        <f t="shared" si="45"/>
        <v>0</v>
      </c>
      <c r="DK795" s="1375"/>
      <c r="DL795" s="1375"/>
      <c r="DM795" s="1375"/>
      <c r="DN795" s="1376"/>
      <c r="DO795" s="1374">
        <f t="shared" si="46"/>
        <v>0</v>
      </c>
      <c r="DP795" s="1375"/>
      <c r="DQ795" s="1375"/>
      <c r="DR795" s="1375"/>
      <c r="DS795" s="1376"/>
      <c r="DT795" s="6"/>
      <c r="DU795" s="1374">
        <f t="shared" si="47"/>
        <v>0</v>
      </c>
      <c r="DV795" s="1375"/>
      <c r="DW795" s="1375"/>
      <c r="DX795" s="1375"/>
      <c r="DY795" s="1376"/>
      <c r="DZ795" s="1374">
        <f t="shared" si="48"/>
        <v>0</v>
      </c>
      <c r="EA795" s="1375"/>
      <c r="EB795" s="1375"/>
      <c r="EC795" s="1375"/>
      <c r="ED795" s="1376"/>
      <c r="EE795" s="1374">
        <f t="shared" si="49"/>
        <v>0</v>
      </c>
      <c r="EF795" s="1375"/>
      <c r="EG795" s="1375"/>
      <c r="EH795" s="1375"/>
      <c r="EI795" s="1376"/>
      <c r="EJ795" s="1374">
        <f t="shared" si="50"/>
        <v>0</v>
      </c>
      <c r="EK795" s="1375"/>
      <c r="EL795" s="1375"/>
      <c r="EM795" s="1375"/>
      <c r="EN795" s="1376"/>
      <c r="EO795" s="1374">
        <f t="shared" si="51"/>
        <v>0</v>
      </c>
      <c r="EP795" s="1375"/>
      <c r="EQ795" s="1375"/>
      <c r="ER795" s="1375"/>
      <c r="ES795" s="1376"/>
      <c r="ET795" s="1374">
        <f t="shared" si="52"/>
        <v>0</v>
      </c>
      <c r="EU795" s="1375"/>
      <c r="EV795" s="1375"/>
      <c r="EW795" s="1375"/>
      <c r="EX795" s="1376"/>
    </row>
    <row r="796" spans="1:154" s="4" customFormat="1" ht="12.9" customHeight="1">
      <c r="A796"/>
      <c r="B796"/>
      <c r="C796"/>
      <c r="D796"/>
      <c r="E796"/>
      <c r="F796"/>
      <c r="G796"/>
      <c r="H796"/>
      <c r="I796"/>
      <c r="J796" s="1397"/>
      <c r="K796" s="1398"/>
      <c r="L796" s="1398"/>
      <c r="M796" s="1398"/>
      <c r="N796" s="1399"/>
      <c r="O796" s="1463"/>
      <c r="P796" s="1463"/>
      <c r="Q796" s="1463"/>
      <c r="R796" s="1463"/>
      <c r="S796" s="1463"/>
      <c r="T796" s="1622"/>
      <c r="U796" s="1623"/>
      <c r="V796" s="1623"/>
      <c r="W796" s="1624"/>
      <c r="X796" s="1500"/>
      <c r="Y796" s="1501"/>
      <c r="Z796" s="1501"/>
      <c r="AA796" s="1501"/>
      <c r="AB796" s="1502"/>
      <c r="AC796" s="1338">
        <f t="shared" si="40"/>
        <v>0</v>
      </c>
      <c r="AD796" s="1339"/>
      <c r="AE796" s="1339"/>
      <c r="AF796" s="1339"/>
      <c r="AG796" s="1340"/>
      <c r="AH796"/>
      <c r="AI796"/>
      <c r="AJ796"/>
      <c r="AK796"/>
      <c r="AL796"/>
      <c r="AM796"/>
      <c r="AN796"/>
      <c r="AO796"/>
      <c r="AP796"/>
      <c r="AQ796"/>
      <c r="AR796"/>
      <c r="AS796"/>
      <c r="AT796"/>
      <c r="AU796"/>
      <c r="AV796"/>
      <c r="AW796"/>
      <c r="AX796"/>
      <c r="AY796"/>
      <c r="AZ796" s="3"/>
      <c r="CP796" s="1374">
        <f t="shared" si="41"/>
        <v>0</v>
      </c>
      <c r="CQ796" s="1375"/>
      <c r="CR796" s="1375"/>
      <c r="CS796" s="1375"/>
      <c r="CT796" s="1376"/>
      <c r="CU796" s="1374">
        <f t="shared" si="42"/>
        <v>0</v>
      </c>
      <c r="CV796" s="1375"/>
      <c r="CW796" s="1375"/>
      <c r="CX796" s="1375"/>
      <c r="CY796" s="1376"/>
      <c r="CZ796" s="1374">
        <f t="shared" si="43"/>
        <v>0</v>
      </c>
      <c r="DA796" s="1375"/>
      <c r="DB796" s="1375"/>
      <c r="DC796" s="1375"/>
      <c r="DD796" s="1376"/>
      <c r="DE796" s="1374">
        <f t="shared" si="44"/>
        <v>0</v>
      </c>
      <c r="DF796" s="1375"/>
      <c r="DG796" s="1375"/>
      <c r="DH796" s="1375"/>
      <c r="DI796" s="1376"/>
      <c r="DJ796" s="1374">
        <f t="shared" si="45"/>
        <v>0</v>
      </c>
      <c r="DK796" s="1375"/>
      <c r="DL796" s="1375"/>
      <c r="DM796" s="1375"/>
      <c r="DN796" s="1376"/>
      <c r="DO796" s="1374">
        <f t="shared" si="46"/>
        <v>0</v>
      </c>
      <c r="DP796" s="1375"/>
      <c r="DQ796" s="1375"/>
      <c r="DR796" s="1375"/>
      <c r="DS796" s="1376"/>
      <c r="DT796" s="6"/>
      <c r="DU796" s="1374">
        <f t="shared" si="47"/>
        <v>0</v>
      </c>
      <c r="DV796" s="1375"/>
      <c r="DW796" s="1375"/>
      <c r="DX796" s="1375"/>
      <c r="DY796" s="1376"/>
      <c r="DZ796" s="1374">
        <f t="shared" si="48"/>
        <v>0</v>
      </c>
      <c r="EA796" s="1375"/>
      <c r="EB796" s="1375"/>
      <c r="EC796" s="1375"/>
      <c r="ED796" s="1376"/>
      <c r="EE796" s="1374">
        <f t="shared" si="49"/>
        <v>0</v>
      </c>
      <c r="EF796" s="1375"/>
      <c r="EG796" s="1375"/>
      <c r="EH796" s="1375"/>
      <c r="EI796" s="1376"/>
      <c r="EJ796" s="1374">
        <f t="shared" si="50"/>
        <v>0</v>
      </c>
      <c r="EK796" s="1375"/>
      <c r="EL796" s="1375"/>
      <c r="EM796" s="1375"/>
      <c r="EN796" s="1376"/>
      <c r="EO796" s="1374">
        <f t="shared" si="51"/>
        <v>0</v>
      </c>
      <c r="EP796" s="1375"/>
      <c r="EQ796" s="1375"/>
      <c r="ER796" s="1375"/>
      <c r="ES796" s="1376"/>
      <c r="ET796" s="1374">
        <f t="shared" si="52"/>
        <v>0</v>
      </c>
      <c r="EU796" s="1375"/>
      <c r="EV796" s="1375"/>
      <c r="EW796" s="1375"/>
      <c r="EX796" s="1376"/>
    </row>
    <row r="797" spans="1:154" s="4" customFormat="1" ht="12.9" customHeight="1">
      <c r="A797"/>
      <c r="B797"/>
      <c r="C797"/>
      <c r="D797"/>
      <c r="E797"/>
      <c r="F797"/>
      <c r="G797"/>
      <c r="H797"/>
      <c r="I797"/>
      <c r="J797" s="1516" t="s">
        <v>125</v>
      </c>
      <c r="K797" s="1517"/>
      <c r="L797" s="1517"/>
      <c r="M797" s="1517"/>
      <c r="N797" s="1519"/>
      <c r="O797" s="1656">
        <f>SUM(O787:S796)</f>
        <v>0</v>
      </c>
      <c r="P797" s="1656"/>
      <c r="Q797" s="1656"/>
      <c r="R797" s="1656"/>
      <c r="S797" s="1656"/>
      <c r="T797"/>
      <c r="U797"/>
      <c r="V797"/>
      <c r="W797"/>
      <c r="X797" s="902" t="s">
        <v>124</v>
      </c>
      <c r="Y797" s="11"/>
      <c r="Z797" s="11"/>
      <c r="AA797" s="11"/>
      <c r="AB797" s="909"/>
      <c r="AC797" s="1338">
        <f>SUM(AC787:AG796)</f>
        <v>0</v>
      </c>
      <c r="AD797" s="1339"/>
      <c r="AE797" s="1339"/>
      <c r="AF797" s="1339"/>
      <c r="AG797" s="1340"/>
      <c r="AH797"/>
      <c r="AI797"/>
      <c r="AJ797"/>
      <c r="AK797"/>
      <c r="AL797"/>
      <c r="AM797"/>
      <c r="AN797"/>
      <c r="AO797"/>
      <c r="AP797"/>
      <c r="AQ797"/>
      <c r="AR797"/>
      <c r="AS797"/>
      <c r="AT797"/>
      <c r="AU797"/>
      <c r="AV797"/>
      <c r="AW797"/>
      <c r="AX797"/>
      <c r="AY797"/>
      <c r="AZ797" s="3"/>
      <c r="BA797"/>
      <c r="CP797" s="1377">
        <f>SUM(CP787:CT796)</f>
        <v>0</v>
      </c>
      <c r="CQ797" s="1378"/>
      <c r="CR797" s="1378"/>
      <c r="CS797" s="1378"/>
      <c r="CT797" s="1379"/>
      <c r="CU797" s="1390">
        <f>SUM(CU787:CY796)</f>
        <v>0</v>
      </c>
      <c r="CV797" s="1391"/>
      <c r="CW797" s="1391"/>
      <c r="CX797" s="1391"/>
      <c r="CY797" s="1392"/>
      <c r="CZ797" s="1390">
        <f>SUM(CZ787:DD796)</f>
        <v>0</v>
      </c>
      <c r="DA797" s="1391"/>
      <c r="DB797" s="1391"/>
      <c r="DC797" s="1391"/>
      <c r="DD797" s="1392"/>
      <c r="DE797" s="1390">
        <f>SUM(DE787:DI796)</f>
        <v>0</v>
      </c>
      <c r="DF797" s="1391"/>
      <c r="DG797" s="1391"/>
      <c r="DH797" s="1391"/>
      <c r="DI797" s="1392"/>
      <c r="DJ797" s="1390">
        <f>SUM(DJ787:DN796)</f>
        <v>0</v>
      </c>
      <c r="DK797" s="1391"/>
      <c r="DL797" s="1391"/>
      <c r="DM797" s="1391"/>
      <c r="DN797" s="1392"/>
      <c r="DO797" s="1390">
        <f>SUM(DO787:DS796)</f>
        <v>0</v>
      </c>
      <c r="DP797" s="1391"/>
      <c r="DQ797" s="1391"/>
      <c r="DR797" s="1391"/>
      <c r="DS797" s="1392"/>
      <c r="DT797" s="1012"/>
      <c r="DU797" s="1377">
        <f>SUM(DU787:DY796)</f>
        <v>0</v>
      </c>
      <c r="DV797" s="1378"/>
      <c r="DW797" s="1378"/>
      <c r="DX797" s="1378"/>
      <c r="DY797" s="1379"/>
      <c r="DZ797" s="1377">
        <f>SUM(DZ787:ED796)</f>
        <v>0</v>
      </c>
      <c r="EA797" s="1378"/>
      <c r="EB797" s="1378"/>
      <c r="EC797" s="1378"/>
      <c r="ED797" s="1379"/>
      <c r="EE797" s="1377">
        <f>SUM(EE787:EI796)</f>
        <v>0</v>
      </c>
      <c r="EF797" s="1378"/>
      <c r="EG797" s="1378"/>
      <c r="EH797" s="1378"/>
      <c r="EI797" s="1379"/>
      <c r="EJ797" s="1377">
        <f>SUM(EJ787:EN796)</f>
        <v>0</v>
      </c>
      <c r="EK797" s="1378"/>
      <c r="EL797" s="1378"/>
      <c r="EM797" s="1378"/>
      <c r="EN797" s="1379"/>
      <c r="EO797" s="1377">
        <f>SUM(EO787:ES796)</f>
        <v>0</v>
      </c>
      <c r="EP797" s="1378"/>
      <c r="EQ797" s="1378"/>
      <c r="ER797" s="1378"/>
      <c r="ES797" s="1379"/>
      <c r="ET797" s="1377">
        <f>SUM(ET787:EX796)</f>
        <v>0</v>
      </c>
      <c r="EU797" s="1378"/>
      <c r="EV797" s="1378"/>
      <c r="EW797" s="1378"/>
      <c r="EX797" s="1379"/>
    </row>
    <row r="798" spans="1:154" s="4" customFormat="1" ht="12.9" customHeight="1">
      <c r="A798"/>
      <c r="B798"/>
      <c r="C798" s="1413" t="str">
        <f>IF(O797&lt;&gt;AG438,"! Total market rate units in the Unit Mix Table above does not match the number of  market rate units on row #"&amp;TEXT(ROW(D438),"#"),"")</f>
        <v/>
      </c>
      <c r="D798" s="1413"/>
      <c r="E798" s="1413"/>
      <c r="F798" s="1413"/>
      <c r="G798" s="1413"/>
      <c r="H798" s="1413"/>
      <c r="I798" s="1413"/>
      <c r="J798" s="1413"/>
      <c r="K798" s="1413"/>
      <c r="L798" s="1413"/>
      <c r="M798" s="1413"/>
      <c r="N798" s="1413"/>
      <c r="O798" s="1413"/>
      <c r="P798" s="1413"/>
      <c r="Q798" s="1413"/>
      <c r="R798" s="1413"/>
      <c r="S798" s="1413"/>
      <c r="T798" s="1413"/>
      <c r="U798" s="1413"/>
      <c r="V798" s="1413"/>
      <c r="W798" s="1413"/>
      <c r="X798" s="1413"/>
      <c r="Y798" s="1413"/>
      <c r="Z798" s="1413"/>
      <c r="AA798" s="1413"/>
      <c r="AB798" s="1413"/>
      <c r="AC798" s="1413"/>
      <c r="AD798" s="1413"/>
      <c r="AE798" s="1413"/>
      <c r="AF798" s="1413"/>
      <c r="AG798" s="1413"/>
      <c r="AH798" s="1413"/>
      <c r="AI798" s="1413"/>
      <c r="AJ798" s="1413"/>
      <c r="AK798" s="1413"/>
      <c r="AL798" s="1413"/>
      <c r="AM798" s="1413"/>
      <c r="AN798" s="141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413"/>
      <c r="D799" s="1413"/>
      <c r="E799" s="1413"/>
      <c r="F799" s="1413"/>
      <c r="G799" s="1413"/>
      <c r="H799" s="1413"/>
      <c r="I799" s="1413"/>
      <c r="J799" s="1413"/>
      <c r="K799" s="1413"/>
      <c r="L799" s="1413"/>
      <c r="M799" s="1413"/>
      <c r="N799" s="1413"/>
      <c r="O799" s="1413"/>
      <c r="P799" s="1413"/>
      <c r="Q799" s="1413"/>
      <c r="R799" s="1413"/>
      <c r="S799" s="1413"/>
      <c r="T799" s="1413"/>
      <c r="U799" s="1413"/>
      <c r="V799" s="1413"/>
      <c r="W799" s="1413"/>
      <c r="X799" s="1413"/>
      <c r="Y799" s="1413"/>
      <c r="Z799" s="1413"/>
      <c r="AA799" s="1413"/>
      <c r="AB799" s="1413"/>
      <c r="AC799" s="1413"/>
      <c r="AD799" s="1413"/>
      <c r="AE799" s="1413"/>
      <c r="AF799" s="1413"/>
      <c r="AG799" s="1413"/>
      <c r="AH799" s="1413"/>
      <c r="AI799" s="1413"/>
      <c r="AJ799" s="1413"/>
      <c r="AK799" s="1413"/>
      <c r="AL799" s="1413"/>
      <c r="AM799" s="1413"/>
      <c r="AN799" s="141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87">
        <f>SUM(DU797:EX797)</f>
        <v>0</v>
      </c>
      <c r="EU799" s="1388"/>
      <c r="EV799" s="1388"/>
      <c r="EW799" s="1388"/>
      <c r="EX799" s="1389"/>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26">
        <f>O753+AC777+AC797</f>
        <v>46343</v>
      </c>
      <c r="Z800" s="1626"/>
      <c r="AA800" s="1626"/>
      <c r="AB800" s="1626"/>
      <c r="AC800" s="162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6">
        <f>(O753+AC777+AC797)*12</f>
        <v>556116</v>
      </c>
      <c r="Z801" s="1626"/>
      <c r="AA801" s="1626"/>
      <c r="AB801" s="1626"/>
      <c r="AC801" s="162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90">
        <f>CP753+CP777+CP797</f>
        <v>3</v>
      </c>
      <c r="CQ802" s="1391"/>
      <c r="CR802" s="1391"/>
      <c r="CS802" s="1391"/>
      <c r="CT802" s="1392"/>
      <c r="CU802" s="1390">
        <f>CU753+CU777+CU797</f>
        <v>18</v>
      </c>
      <c r="CV802" s="1391"/>
      <c r="CW802" s="1391"/>
      <c r="CX802" s="1391"/>
      <c r="CY802" s="1392"/>
      <c r="CZ802" s="1390">
        <f>CZ753+CZ777+CZ797</f>
        <v>13</v>
      </c>
      <c r="DA802" s="1391"/>
      <c r="DB802" s="1391"/>
      <c r="DC802" s="1391"/>
      <c r="DD802" s="1392"/>
      <c r="DE802" s="1390">
        <f>DE753+DE777+DE797</f>
        <v>12</v>
      </c>
      <c r="DF802" s="1391"/>
      <c r="DG802" s="1391"/>
      <c r="DH802" s="1391"/>
      <c r="DI802" s="1392"/>
      <c r="DJ802" s="1390">
        <f>DJ753+DJ777+DJ797</f>
        <v>0</v>
      </c>
      <c r="DK802" s="1391"/>
      <c r="DL802" s="1391"/>
      <c r="DM802" s="1391"/>
      <c r="DN802" s="1392"/>
      <c r="DO802" s="1393">
        <f>DO797+DO777+DO753</f>
        <v>0</v>
      </c>
      <c r="DP802" s="1394"/>
      <c r="DQ802" s="1394"/>
      <c r="DR802" s="1394"/>
      <c r="DS802" s="1395"/>
      <c r="DT802" s="3"/>
      <c r="DU802" s="861">
        <f>DU755+DU800</f>
        <v>81</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33">
        <v>0</v>
      </c>
      <c r="AA806" s="1634"/>
      <c r="AB806" s="1634"/>
      <c r="AC806" s="1634"/>
      <c r="AD806" s="1634"/>
      <c r="AE806" s="163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39"/>
      <c r="AA807" s="1634"/>
      <c r="AB807" s="1634"/>
      <c r="AC807" s="1634"/>
      <c r="AD807" s="1634"/>
      <c r="AE807" s="163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54">
        <v>0</v>
      </c>
      <c r="AA808" s="1539"/>
      <c r="AB808" s="1539"/>
      <c r="AC808" s="1539"/>
      <c r="AD808" s="1539"/>
      <c r="AE808" s="165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03">
        <f>'Subsidy Contract Calculation'!J40</f>
        <v>0</v>
      </c>
      <c r="AA809" s="1504"/>
      <c r="AB809" s="1504"/>
      <c r="AC809" s="1504"/>
      <c r="AD809" s="1504"/>
      <c r="AE809" s="150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6">
        <v>12000</v>
      </c>
      <c r="AA813" s="1380"/>
      <c r="AB813" s="1380"/>
      <c r="AC813" s="1380"/>
      <c r="AD813" s="1380"/>
      <c r="AE813" s="13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6"/>
      <c r="AA814" s="1380"/>
      <c r="AB814" s="1380"/>
      <c r="AC814" s="1380"/>
      <c r="AD814" s="1380"/>
      <c r="AE814" s="13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6"/>
      <c r="AA815" s="1380"/>
      <c r="AB815" s="1380"/>
      <c r="AC815" s="1380"/>
      <c r="AD815" s="1380"/>
      <c r="AE815" s="13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58" t="s">
        <v>334</v>
      </c>
      <c r="Q816" s="1659"/>
      <c r="R816" s="1659"/>
      <c r="S816" s="1659"/>
      <c r="T816" s="1659"/>
      <c r="U816" s="1659"/>
      <c r="V816" s="1659"/>
      <c r="W816" s="1659"/>
      <c r="X816" s="1659"/>
      <c r="Y816" s="1660"/>
      <c r="Z816" s="1506"/>
      <c r="AA816" s="1380"/>
      <c r="AB816" s="1380"/>
      <c r="AC816" s="1380"/>
      <c r="AD816" s="1380"/>
      <c r="AE816" s="13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03">
        <f>SUM(Z813:AE816)</f>
        <v>12000</v>
      </c>
      <c r="AA817" s="1504"/>
      <c r="AB817" s="1504"/>
      <c r="AC817" s="1504"/>
      <c r="AD817" s="1504"/>
      <c r="AE817" s="150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503">
        <f>Z817+Y801+Z809</f>
        <v>568116</v>
      </c>
      <c r="AA818" s="1504"/>
      <c r="AB818" s="1504"/>
      <c r="AC818" s="1504"/>
      <c r="AD818" s="1504"/>
      <c r="AE818" s="150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29" t="s">
        <v>126</v>
      </c>
      <c r="N823" s="1629"/>
      <c r="O823" s="1629"/>
      <c r="P823" s="1630"/>
      <c r="Q823" s="1653" t="s">
        <v>290</v>
      </c>
      <c r="R823" s="1653"/>
      <c r="S823" s="1653"/>
      <c r="T823" s="1653"/>
      <c r="U823" s="1653" t="s">
        <v>291</v>
      </c>
      <c r="V823" s="1653"/>
      <c r="W823" s="1653"/>
      <c r="X823" s="1653"/>
      <c r="Y823" s="1653" t="s">
        <v>292</v>
      </c>
      <c r="Z823" s="1653"/>
      <c r="AA823" s="1653"/>
      <c r="AB823" s="1653"/>
      <c r="AC823" s="1653" t="s">
        <v>361</v>
      </c>
      <c r="AD823" s="1653"/>
      <c r="AE823" s="1653"/>
      <c r="AF823" s="1653"/>
      <c r="AG823" s="1685" t="s">
        <v>335</v>
      </c>
      <c r="AH823" s="1685"/>
      <c r="AI823" s="1685"/>
      <c r="AJ823" s="1685"/>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31"/>
      <c r="N824" s="1631"/>
      <c r="O824" s="1631"/>
      <c r="P824" s="1632"/>
      <c r="Q824" s="1653"/>
      <c r="R824" s="1653"/>
      <c r="S824" s="1653"/>
      <c r="T824" s="1653"/>
      <c r="U824" s="1653"/>
      <c r="V824" s="1653"/>
      <c r="W824" s="1653"/>
      <c r="X824" s="1653"/>
      <c r="Y824" s="1653"/>
      <c r="Z824" s="1653"/>
      <c r="AA824" s="1653"/>
      <c r="AB824" s="1653"/>
      <c r="AC824" s="1653"/>
      <c r="AD824" s="1653"/>
      <c r="AE824" s="1653"/>
      <c r="AF824" s="1653"/>
      <c r="AG824" s="1685"/>
      <c r="AH824" s="1685"/>
      <c r="AI824" s="1685"/>
      <c r="AJ824" s="1685"/>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28" t="s">
        <v>40</v>
      </c>
      <c r="D825" s="1336"/>
      <c r="E825" s="1336"/>
      <c r="F825" s="1336"/>
      <c r="G825" s="1336"/>
      <c r="H825" s="1336"/>
      <c r="I825" s="48"/>
      <c r="J825" s="48"/>
      <c r="K825" s="48"/>
      <c r="L825" s="49"/>
      <c r="M825" s="1625"/>
      <c r="N825" s="1625"/>
      <c r="O825" s="1625"/>
      <c r="P825" s="1625"/>
      <c r="Q825" s="1625"/>
      <c r="R825" s="1625"/>
      <c r="S825" s="1625"/>
      <c r="T825" s="1625"/>
      <c r="U825" s="1625"/>
      <c r="V825" s="1625"/>
      <c r="W825" s="1625"/>
      <c r="X825" s="1625"/>
      <c r="Y825" s="1625"/>
      <c r="Z825" s="1625"/>
      <c r="AA825" s="1625"/>
      <c r="AB825" s="1625"/>
      <c r="AC825" s="1510"/>
      <c r="AD825" s="1511"/>
      <c r="AE825" s="1511"/>
      <c r="AF825" s="1512"/>
      <c r="AG825" s="1510"/>
      <c r="AH825" s="1511"/>
      <c r="AI825" s="1511"/>
      <c r="AJ825" s="1512"/>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493" t="s">
        <v>41</v>
      </c>
      <c r="D826" s="1494"/>
      <c r="E826" s="1494"/>
      <c r="F826" s="1494"/>
      <c r="G826" s="1494"/>
      <c r="H826" s="1494"/>
      <c r="I826" s="5"/>
      <c r="J826" s="5"/>
      <c r="K826" s="5"/>
      <c r="L826" s="46"/>
      <c r="M826" s="1625"/>
      <c r="N826" s="1625"/>
      <c r="O826" s="1625"/>
      <c r="P826" s="1625"/>
      <c r="Q826" s="1625"/>
      <c r="R826" s="1625"/>
      <c r="S826" s="1625"/>
      <c r="T826" s="1625"/>
      <c r="U826" s="1625"/>
      <c r="V826" s="1625"/>
      <c r="W826" s="1625"/>
      <c r="X826" s="1625"/>
      <c r="Y826" s="1625"/>
      <c r="Z826" s="1625"/>
      <c r="AA826" s="1625"/>
      <c r="AB826" s="1625"/>
      <c r="AC826" s="1510"/>
      <c r="AD826" s="1511"/>
      <c r="AE826" s="1511"/>
      <c r="AF826" s="1512"/>
      <c r="AG826" s="1510"/>
      <c r="AH826" s="1511"/>
      <c r="AI826" s="1511"/>
      <c r="AJ826" s="1512"/>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493" t="s">
        <v>42</v>
      </c>
      <c r="D827" s="1494"/>
      <c r="E827" s="1494"/>
      <c r="F827" s="1494"/>
      <c r="G827" s="1494"/>
      <c r="H827" s="1494"/>
      <c r="I827" s="60"/>
      <c r="J827" s="60"/>
      <c r="K827" s="60"/>
      <c r="L827" s="61"/>
      <c r="M827" s="1625"/>
      <c r="N827" s="1625"/>
      <c r="O827" s="1625"/>
      <c r="P827" s="1625"/>
      <c r="Q827" s="1625"/>
      <c r="R827" s="1625"/>
      <c r="S827" s="1625"/>
      <c r="T827" s="1625"/>
      <c r="U827" s="1625"/>
      <c r="V827" s="1625"/>
      <c r="W827" s="1625"/>
      <c r="X827" s="1625"/>
      <c r="Y827" s="1625"/>
      <c r="Z827" s="1625"/>
      <c r="AA827" s="1625"/>
      <c r="AB827" s="1625"/>
      <c r="AC827" s="1510"/>
      <c r="AD827" s="1511"/>
      <c r="AE827" s="1511"/>
      <c r="AF827" s="1512"/>
      <c r="AG827" s="1510"/>
      <c r="AH827" s="1511"/>
      <c r="AI827" s="1511"/>
      <c r="AJ827" s="1512"/>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493" t="s">
        <v>763</v>
      </c>
      <c r="D828" s="1494"/>
      <c r="E828" s="1494"/>
      <c r="F828" s="1494"/>
      <c r="G828" s="1494"/>
      <c r="H828" s="1494"/>
      <c r="I828" s="60"/>
      <c r="J828" s="60"/>
      <c r="K828" s="60"/>
      <c r="L828" s="61"/>
      <c r="M828" s="1625"/>
      <c r="N828" s="1625"/>
      <c r="O828" s="1625"/>
      <c r="P828" s="1625"/>
      <c r="Q828" s="1625"/>
      <c r="R828" s="1625"/>
      <c r="S828" s="1625"/>
      <c r="T828" s="1625"/>
      <c r="U828" s="1625"/>
      <c r="V828" s="1625"/>
      <c r="W828" s="1625"/>
      <c r="X828" s="1625"/>
      <c r="Y828" s="1625"/>
      <c r="Z828" s="1625"/>
      <c r="AA828" s="1625"/>
      <c r="AB828" s="1625"/>
      <c r="AC828" s="1510"/>
      <c r="AD828" s="1511"/>
      <c r="AE828" s="1511"/>
      <c r="AF828" s="1512"/>
      <c r="AG828" s="1510"/>
      <c r="AH828" s="1511"/>
      <c r="AI828" s="1511"/>
      <c r="AJ828" s="1512"/>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493" t="s">
        <v>460</v>
      </c>
      <c r="D829" s="1494"/>
      <c r="E829" s="1494"/>
      <c r="F829" s="1494"/>
      <c r="G829" s="1494"/>
      <c r="H829" s="1494"/>
      <c r="I829" s="60"/>
      <c r="J829" s="60"/>
      <c r="K829" s="60"/>
      <c r="L829" s="61"/>
      <c r="M829" s="1625"/>
      <c r="N829" s="1625"/>
      <c r="O829" s="1625"/>
      <c r="P829" s="1625"/>
      <c r="Q829" s="1625"/>
      <c r="R829" s="1625"/>
      <c r="S829" s="1625"/>
      <c r="T829" s="1625"/>
      <c r="U829" s="1625"/>
      <c r="V829" s="1625"/>
      <c r="W829" s="1625"/>
      <c r="X829" s="1625"/>
      <c r="Y829" s="1625"/>
      <c r="Z829" s="1625"/>
      <c r="AA829" s="1625"/>
      <c r="AB829" s="1625"/>
      <c r="AC829" s="1510"/>
      <c r="AD829" s="1511"/>
      <c r="AE829" s="1511"/>
      <c r="AF829" s="1512"/>
      <c r="AG829" s="1510"/>
      <c r="AH829" s="1511"/>
      <c r="AI829" s="1511"/>
      <c r="AJ829" s="1512"/>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37" t="s">
        <v>784</v>
      </c>
      <c r="D830" s="1494"/>
      <c r="E830" s="1494"/>
      <c r="F830" s="1494"/>
      <c r="G830" s="1494"/>
      <c r="H830" s="1494"/>
      <c r="I830" s="60"/>
      <c r="J830" s="60"/>
      <c r="K830" s="60"/>
      <c r="L830" s="61"/>
      <c r="M830" s="1625"/>
      <c r="N830" s="1625"/>
      <c r="O830" s="1625"/>
      <c r="P830" s="1625"/>
      <c r="Q830" s="1625"/>
      <c r="R830" s="1625"/>
      <c r="S830" s="1625"/>
      <c r="T830" s="1625"/>
      <c r="U830" s="1625"/>
      <c r="V830" s="1625"/>
      <c r="W830" s="1625"/>
      <c r="X830" s="1625"/>
      <c r="Y830" s="1625"/>
      <c r="Z830" s="1625"/>
      <c r="AA830" s="1625"/>
      <c r="AB830" s="1625"/>
      <c r="AC830" s="1510"/>
      <c r="AD830" s="1511"/>
      <c r="AE830" s="1511"/>
      <c r="AF830" s="1512"/>
      <c r="AG830" s="1510"/>
      <c r="AH830" s="1511"/>
      <c r="AI830" s="1511"/>
      <c r="AJ830" s="1512"/>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58" t="s">
        <v>2739</v>
      </c>
      <c r="G831" s="1659"/>
      <c r="H831" s="1659"/>
      <c r="I831" s="1659"/>
      <c r="J831" s="1659"/>
      <c r="K831" s="1659"/>
      <c r="L831" s="1659"/>
      <c r="M831" s="1625">
        <v>12</v>
      </c>
      <c r="N831" s="1625"/>
      <c r="O831" s="1625"/>
      <c r="P831" s="1625"/>
      <c r="Q831" s="1625">
        <v>12</v>
      </c>
      <c r="R831" s="1625"/>
      <c r="S831" s="1625"/>
      <c r="T831" s="1625"/>
      <c r="U831" s="1625">
        <v>12</v>
      </c>
      <c r="V831" s="1625"/>
      <c r="W831" s="1625"/>
      <c r="X831" s="1625"/>
      <c r="Y831" s="1625">
        <v>12</v>
      </c>
      <c r="Z831" s="1625"/>
      <c r="AA831" s="1625"/>
      <c r="AB831" s="1625"/>
      <c r="AC831" s="1510"/>
      <c r="AD831" s="1511"/>
      <c r="AE831" s="1511"/>
      <c r="AF831" s="1512"/>
      <c r="AG831" s="1510"/>
      <c r="AH831" s="1511"/>
      <c r="AI831" s="1511"/>
      <c r="AJ831" s="1512"/>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516" t="s">
        <v>124</v>
      </c>
      <c r="D832" s="1517"/>
      <c r="E832" s="1517"/>
      <c r="F832" s="1517"/>
      <c r="G832" s="1517"/>
      <c r="H832" s="1517"/>
      <c r="I832" s="1517"/>
      <c r="J832" s="1517"/>
      <c r="K832" s="1517"/>
      <c r="L832" s="1519"/>
      <c r="M832" s="1684">
        <f>SUM(M825:P831)</f>
        <v>12</v>
      </c>
      <c r="N832" s="1684"/>
      <c r="O832" s="1684"/>
      <c r="P832" s="1684"/>
      <c r="Q832" s="1684">
        <f>SUM(Q825:T831)</f>
        <v>12</v>
      </c>
      <c r="R832" s="1684"/>
      <c r="S832" s="1684"/>
      <c r="T832" s="1684"/>
      <c r="U832" s="1684">
        <f>SUM(U825:X831)</f>
        <v>12</v>
      </c>
      <c r="V832" s="1684"/>
      <c r="W832" s="1684"/>
      <c r="X832" s="1684"/>
      <c r="Y832" s="1684">
        <f>SUM(Y825:AB831)</f>
        <v>12</v>
      </c>
      <c r="Z832" s="1684"/>
      <c r="AA832" s="1684"/>
      <c r="AB832" s="1684"/>
      <c r="AC832" s="1684">
        <f>SUM(AC825:AF831)</f>
        <v>0</v>
      </c>
      <c r="AD832" s="1684"/>
      <c r="AE832" s="1684"/>
      <c r="AF832" s="1684"/>
      <c r="AG832" s="1684">
        <f>SUM(AG825:AJ831)</f>
        <v>0</v>
      </c>
      <c r="AH832" s="1684"/>
      <c r="AI832" s="1684"/>
      <c r="AJ832" s="1684"/>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67" t="s">
        <v>2740</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c r="BJ841" s="1679"/>
      <c r="BK841" s="1679"/>
      <c r="BL841" s="167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61">
        <v>5000</v>
      </c>
      <c r="X842" s="1661"/>
      <c r="Y842" s="1661"/>
      <c r="Z842" s="1661"/>
      <c r="AA842" s="1661"/>
      <c r="AB842" s="1661"/>
      <c r="AC842" s="166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61">
        <v>5000</v>
      </c>
      <c r="X843" s="1661"/>
      <c r="Y843" s="1661"/>
      <c r="Z843" s="1661"/>
      <c r="AA843" s="1661"/>
      <c r="AB843" s="1661"/>
      <c r="AC843" s="166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61">
        <v>10000</v>
      </c>
      <c r="X844" s="1661"/>
      <c r="Y844" s="1661"/>
      <c r="Z844" s="1661"/>
      <c r="AA844" s="1661"/>
      <c r="AB844" s="1661"/>
      <c r="AC844" s="1661"/>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61"/>
      <c r="X845" s="1661"/>
      <c r="Y845" s="1661"/>
      <c r="Z845" s="1661"/>
      <c r="AA845" s="1661"/>
      <c r="AB845" s="1661"/>
      <c r="AC845" s="1661"/>
      <c r="AZ845" s="30"/>
      <c r="BA845" s="30"/>
      <c r="BB845" s="14"/>
      <c r="BC845" s="14"/>
      <c r="BD845" s="14"/>
      <c r="BE845" s="14"/>
      <c r="BF845" s="14"/>
      <c r="BG845" s="14"/>
      <c r="BH845" s="14"/>
      <c r="BI845" s="14"/>
      <c r="BJ845" s="14"/>
      <c r="BK845" s="14"/>
      <c r="BL845" s="14"/>
    </row>
    <row r="846" spans="1:64" ht="12.9" customHeight="1">
      <c r="J846" s="45" t="s">
        <v>170</v>
      </c>
      <c r="K846" s="5"/>
      <c r="L846" s="5"/>
      <c r="M846" s="1658" t="s">
        <v>334</v>
      </c>
      <c r="N846" s="1659"/>
      <c r="O846" s="1659"/>
      <c r="P846" s="1659"/>
      <c r="Q846" s="1659"/>
      <c r="R846" s="1659"/>
      <c r="S846" s="1659"/>
      <c r="T846" s="1659"/>
      <c r="U846" s="1659"/>
      <c r="V846" s="1660"/>
      <c r="W846" s="1661"/>
      <c r="X846" s="1661"/>
      <c r="Y846" s="1661"/>
      <c r="Z846" s="1661"/>
      <c r="AA846" s="1661"/>
      <c r="AB846" s="1661"/>
      <c r="AC846" s="166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503">
        <f>SUM(W842:W846)</f>
        <v>20000</v>
      </c>
      <c r="X847" s="1504"/>
      <c r="Y847" s="1504"/>
      <c r="Z847" s="1504"/>
      <c r="AA847" s="1504"/>
      <c r="AB847" s="1504"/>
      <c r="AC847" s="150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43"/>
      <c r="BH848" s="1643"/>
      <c r="BI848" s="1643"/>
      <c r="BJ848" s="1643"/>
      <c r="BK848" s="1643"/>
      <c r="BL848" s="1643"/>
    </row>
    <row r="849" spans="3:55" ht="12.9" customHeight="1">
      <c r="C849" s="2" t="s">
        <v>344</v>
      </c>
      <c r="J849" s="1516" t="s">
        <v>345</v>
      </c>
      <c r="K849" s="1517"/>
      <c r="L849" s="1517"/>
      <c r="M849" s="1517"/>
      <c r="N849" s="1517"/>
      <c r="O849" s="1517"/>
      <c r="P849" s="1517"/>
      <c r="Q849" s="1517"/>
      <c r="R849" s="1517"/>
      <c r="S849" s="1517"/>
      <c r="T849" s="1517"/>
      <c r="U849" s="1517"/>
      <c r="V849" s="1519"/>
      <c r="W849" s="1506">
        <v>32383</v>
      </c>
      <c r="X849" s="1380"/>
      <c r="Y849" s="1380"/>
      <c r="Z849" s="1380"/>
      <c r="AA849" s="1380"/>
      <c r="AB849" s="1380"/>
      <c r="AC849" s="1381"/>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65"/>
      <c r="X851" s="1665"/>
      <c r="Y851" s="1665"/>
      <c r="Z851" s="1665"/>
      <c r="AA851" s="1665"/>
      <c r="AB851" s="1665"/>
      <c r="AC851" s="1665"/>
      <c r="AZ851" s="1652"/>
      <c r="BA851" s="1652"/>
      <c r="BB851" s="14"/>
      <c r="BC851" s="14"/>
    </row>
    <row r="852" spans="3:55" ht="12.9" customHeight="1">
      <c r="J852" s="45" t="s">
        <v>351</v>
      </c>
      <c r="K852" s="5"/>
      <c r="L852" s="5"/>
      <c r="M852" s="5"/>
      <c r="N852" s="5"/>
      <c r="O852" s="5"/>
      <c r="P852" s="5"/>
      <c r="Q852" s="5"/>
      <c r="R852" s="5"/>
      <c r="S852" s="5"/>
      <c r="T852" s="5"/>
      <c r="U852" s="5"/>
      <c r="V852" s="46"/>
      <c r="W852" s="1665"/>
      <c r="X852" s="1665"/>
      <c r="Y852" s="1665"/>
      <c r="Z852" s="1665"/>
      <c r="AA852" s="1665"/>
      <c r="AB852" s="1665"/>
      <c r="AC852" s="1665"/>
      <c r="AZ852" s="30"/>
      <c r="BA852" s="30"/>
      <c r="BB852" s="14"/>
      <c r="BC852" s="14"/>
    </row>
    <row r="853" spans="3:55" ht="12.9" customHeight="1">
      <c r="J853" s="45" t="s">
        <v>460</v>
      </c>
      <c r="K853" s="5"/>
      <c r="L853" s="5"/>
      <c r="M853" s="5"/>
      <c r="N853" s="5"/>
      <c r="O853" s="5"/>
      <c r="P853" s="5"/>
      <c r="Q853" s="5"/>
      <c r="R853" s="5"/>
      <c r="S853" s="5"/>
      <c r="T853" s="5"/>
      <c r="U853" s="5"/>
      <c r="V853" s="46"/>
      <c r="W853" s="1665">
        <v>10000</v>
      </c>
      <c r="X853" s="1665"/>
      <c r="Y853" s="1665"/>
      <c r="Z853" s="1665"/>
      <c r="AA853" s="1665"/>
      <c r="AB853" s="1665"/>
      <c r="AC853" s="1665"/>
      <c r="AZ853" s="30"/>
      <c r="BA853" s="30"/>
      <c r="BB853" s="14"/>
      <c r="BC853" s="14"/>
    </row>
    <row r="854" spans="3:55" ht="12.9" customHeight="1">
      <c r="J854" s="62" t="s">
        <v>621</v>
      </c>
      <c r="K854" s="5"/>
      <c r="L854" s="5"/>
      <c r="M854" s="5"/>
      <c r="N854" s="5"/>
      <c r="O854" s="5"/>
      <c r="P854" s="5"/>
      <c r="Q854" s="5"/>
      <c r="R854" s="5"/>
      <c r="S854" s="5"/>
      <c r="T854" s="5"/>
      <c r="U854" s="5"/>
      <c r="V854" s="46"/>
      <c r="W854" s="1665">
        <v>30000</v>
      </c>
      <c r="X854" s="1665"/>
      <c r="Y854" s="1665"/>
      <c r="Z854" s="1665"/>
      <c r="AA854" s="1665"/>
      <c r="AB854" s="1665"/>
      <c r="AC854" s="1665"/>
      <c r="AZ854" s="34"/>
      <c r="BA854" s="34"/>
      <c r="BB854" s="34"/>
      <c r="BC854" s="34"/>
    </row>
    <row r="855" spans="3:55" ht="12.9" customHeight="1">
      <c r="J855" s="63"/>
      <c r="K855" s="48"/>
      <c r="L855" s="48"/>
      <c r="M855" s="48"/>
      <c r="N855" s="48"/>
      <c r="O855" s="48"/>
      <c r="P855" s="48"/>
      <c r="Q855" s="48"/>
      <c r="R855" s="48"/>
      <c r="S855" s="48"/>
      <c r="T855" s="48"/>
      <c r="U855" s="48"/>
      <c r="V855" s="54" t="s">
        <v>272</v>
      </c>
      <c r="W855" s="1666">
        <f>SUM(W851:W854)</f>
        <v>40000</v>
      </c>
      <c r="X855" s="1666"/>
      <c r="Y855" s="1666"/>
      <c r="Z855" s="1666"/>
      <c r="AA855" s="1666"/>
      <c r="AB855" s="1666"/>
      <c r="AC855" s="166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62">
        <v>26000</v>
      </c>
      <c r="X857" s="1663"/>
      <c r="Y857" s="1663"/>
      <c r="Z857" s="1663"/>
      <c r="AA857" s="1663"/>
      <c r="AB857" s="1663"/>
      <c r="AC857" s="1664"/>
      <c r="AD857" s="528"/>
      <c r="AZ857" s="34"/>
      <c r="BA857" s="34"/>
      <c r="BB857" s="34"/>
      <c r="BC857" s="34"/>
    </row>
    <row r="858" spans="3:55" ht="12.9" customHeight="1">
      <c r="C858" s="2" t="s">
        <v>347</v>
      </c>
      <c r="J858" s="121" t="s">
        <v>1656</v>
      </c>
      <c r="K858" s="5"/>
      <c r="L858" s="5"/>
      <c r="M858" s="5"/>
      <c r="N858" s="5"/>
      <c r="O858" s="5"/>
      <c r="P858" s="5"/>
      <c r="Q858" s="5"/>
      <c r="R858" s="5"/>
      <c r="S858" s="5"/>
      <c r="T858" s="1670"/>
      <c r="U858" s="1621"/>
      <c r="V858" s="167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62"/>
      <c r="X859" s="1663"/>
      <c r="Y859" s="1663"/>
      <c r="Z859" s="1663"/>
      <c r="AA859" s="1663"/>
      <c r="AB859" s="1663"/>
      <c r="AC859" s="1664"/>
      <c r="AD859" s="533"/>
      <c r="AZ859" s="34"/>
      <c r="BA859" s="34"/>
      <c r="BB859" s="34"/>
      <c r="BC859" s="34"/>
    </row>
    <row r="860" spans="3:55" ht="12.9" customHeight="1">
      <c r="C860" s="2"/>
      <c r="J860" s="121" t="s">
        <v>1657</v>
      </c>
      <c r="K860" s="5"/>
      <c r="L860" s="5"/>
      <c r="M860" s="5"/>
      <c r="N860" s="5"/>
      <c r="O860" s="5"/>
      <c r="P860" s="5"/>
      <c r="Q860" s="5"/>
      <c r="R860" s="5"/>
      <c r="S860" s="5"/>
      <c r="T860" s="1670"/>
      <c r="U860" s="1621"/>
      <c r="V860" s="1671"/>
      <c r="W860" s="874"/>
      <c r="X860" s="875"/>
      <c r="Y860" s="875"/>
      <c r="Z860" s="875"/>
      <c r="AA860" s="875"/>
      <c r="AB860" s="875"/>
      <c r="AC860" s="876"/>
      <c r="AD860" s="533"/>
      <c r="AZ860" s="34"/>
      <c r="BA860" s="34"/>
      <c r="BB860" s="34"/>
      <c r="BC860" s="34"/>
    </row>
    <row r="861" spans="3:55" ht="12.9" customHeight="1">
      <c r="J861" s="45" t="s">
        <v>170</v>
      </c>
      <c r="K861" s="5"/>
      <c r="L861" s="5"/>
      <c r="M861" s="1658" t="s">
        <v>334</v>
      </c>
      <c r="N861" s="1659"/>
      <c r="O861" s="1659"/>
      <c r="P861" s="1659"/>
      <c r="Q861" s="1659"/>
      <c r="R861" s="1659"/>
      <c r="S861" s="1659"/>
      <c r="T861" s="1659"/>
      <c r="U861" s="1659"/>
      <c r="V861" s="1660"/>
      <c r="W861" s="1662"/>
      <c r="X861" s="1663"/>
      <c r="Y861" s="1663"/>
      <c r="Z861" s="1663"/>
      <c r="AA861" s="1663"/>
      <c r="AB861" s="1663"/>
      <c r="AC861" s="1664"/>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72">
        <f>SUM(W857:W861)</f>
        <v>26000</v>
      </c>
      <c r="X862" s="1673"/>
      <c r="Y862" s="1673"/>
      <c r="Z862" s="1673"/>
      <c r="AA862" s="1673"/>
      <c r="AB862" s="1673"/>
      <c r="AC862" s="167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62">
        <v>80000</v>
      </c>
      <c r="X863" s="1663"/>
      <c r="Y863" s="1663"/>
      <c r="Z863" s="1663"/>
      <c r="AA863" s="1663"/>
      <c r="AB863" s="1663"/>
      <c r="AC863" s="1664"/>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61">
        <f>236320-224820-1</f>
        <v>11499</v>
      </c>
      <c r="X865" s="1661"/>
      <c r="Y865" s="1661"/>
      <c r="Z865" s="1661"/>
      <c r="AA865" s="1661"/>
      <c r="AB865" s="1661"/>
      <c r="AC865" s="1661"/>
      <c r="AU865" s="14"/>
      <c r="AZ865" s="34"/>
      <c r="BA865" s="34"/>
      <c r="BB865" s="34"/>
      <c r="BC865" s="34"/>
    </row>
    <row r="866" spans="3:55" ht="12.9" customHeight="1">
      <c r="J866" s="45" t="s">
        <v>523</v>
      </c>
      <c r="K866" s="5"/>
      <c r="L866" s="5"/>
      <c r="M866" s="5"/>
      <c r="N866" s="5"/>
      <c r="O866" s="5"/>
      <c r="P866" s="5"/>
      <c r="Q866" s="5"/>
      <c r="R866" s="5"/>
      <c r="S866" s="5"/>
      <c r="T866" s="5"/>
      <c r="U866" s="5"/>
      <c r="V866" s="46"/>
      <c r="W866" s="1661">
        <v>8000</v>
      </c>
      <c r="X866" s="1661"/>
      <c r="Y866" s="1661"/>
      <c r="Z866" s="1661"/>
      <c r="AA866" s="1661"/>
      <c r="AB866" s="1661"/>
      <c r="AC866" s="1661"/>
      <c r="AU866" s="4"/>
      <c r="AZ866" s="34"/>
      <c r="BA866" s="34"/>
      <c r="BB866" s="34"/>
      <c r="BC866" s="34"/>
    </row>
    <row r="867" spans="3:55" ht="12.9" customHeight="1">
      <c r="J867" s="45" t="s">
        <v>522</v>
      </c>
      <c r="K867" s="5"/>
      <c r="L867" s="5"/>
      <c r="M867" s="5"/>
      <c r="N867" s="5"/>
      <c r="O867" s="5"/>
      <c r="P867" s="5"/>
      <c r="Q867" s="5"/>
      <c r="R867" s="5"/>
      <c r="S867" s="5"/>
      <c r="T867" s="5"/>
      <c r="U867" s="5"/>
      <c r="V867" s="46"/>
      <c r="W867" s="1661">
        <v>5000</v>
      </c>
      <c r="X867" s="1661"/>
      <c r="Y867" s="1661"/>
      <c r="Z867" s="1661"/>
      <c r="AA867" s="1661"/>
      <c r="AB867" s="1661"/>
      <c r="AC867" s="1661"/>
      <c r="AU867" s="4"/>
      <c r="AZ867" s="34"/>
      <c r="BA867" s="34"/>
      <c r="BB867" s="34"/>
      <c r="BC867" s="34"/>
    </row>
    <row r="868" spans="3:55" ht="12.9" customHeight="1">
      <c r="J868" s="45" t="s">
        <v>521</v>
      </c>
      <c r="K868" s="5"/>
      <c r="L868" s="5"/>
      <c r="M868" s="5"/>
      <c r="N868" s="5"/>
      <c r="O868" s="5"/>
      <c r="P868" s="5"/>
      <c r="Q868" s="5"/>
      <c r="R868" s="5"/>
      <c r="S868" s="5"/>
      <c r="T868" s="5"/>
      <c r="U868" s="5"/>
      <c r="V868" s="46"/>
      <c r="W868" s="1661">
        <v>2000</v>
      </c>
      <c r="X868" s="1661"/>
      <c r="Y868" s="1661"/>
      <c r="Z868" s="1661"/>
      <c r="AA868" s="1661"/>
      <c r="AB868" s="1661"/>
      <c r="AC868" s="1661"/>
      <c r="AU868" s="4"/>
      <c r="AZ868" s="34"/>
      <c r="BA868" s="34"/>
      <c r="BB868" s="34"/>
      <c r="BC868" s="34"/>
    </row>
    <row r="869" spans="3:55" ht="12.9" customHeight="1">
      <c r="J869" s="45" t="s">
        <v>520</v>
      </c>
      <c r="K869" s="5"/>
      <c r="L869" s="5"/>
      <c r="M869" s="5"/>
      <c r="N869" s="5"/>
      <c r="O869" s="5"/>
      <c r="P869" s="5"/>
      <c r="Q869" s="5"/>
      <c r="R869" s="5"/>
      <c r="S869" s="5"/>
      <c r="T869" s="5"/>
      <c r="U869" s="5"/>
      <c r="V869" s="46"/>
      <c r="W869" s="1661">
        <v>10000</v>
      </c>
      <c r="X869" s="1661"/>
      <c r="Y869" s="1661"/>
      <c r="Z869" s="1661"/>
      <c r="AA869" s="1661"/>
      <c r="AB869" s="1661"/>
      <c r="AC869" s="1661"/>
      <c r="AU869" s="4"/>
      <c r="AZ869" s="34"/>
      <c r="BA869" s="34"/>
      <c r="BB869" s="34"/>
      <c r="BC869" s="34"/>
    </row>
    <row r="870" spans="3:55" ht="12.9" customHeight="1">
      <c r="J870" s="45" t="s">
        <v>519</v>
      </c>
      <c r="K870" s="5"/>
      <c r="L870" s="5"/>
      <c r="M870" s="5"/>
      <c r="N870" s="5"/>
      <c r="O870" s="5"/>
      <c r="P870" s="5"/>
      <c r="Q870" s="5"/>
      <c r="R870" s="5"/>
      <c r="S870" s="5"/>
      <c r="T870" s="5"/>
      <c r="U870" s="5"/>
      <c r="V870" s="46"/>
      <c r="W870" s="1661"/>
      <c r="X870" s="1661"/>
      <c r="Y870" s="1661"/>
      <c r="Z870" s="1661"/>
      <c r="AA870" s="1661"/>
      <c r="AB870" s="1661"/>
      <c r="AC870" s="1661"/>
      <c r="AU870" s="4"/>
      <c r="AZ870" s="34"/>
      <c r="BA870" s="34"/>
      <c r="BB870" s="34"/>
      <c r="BC870" s="34"/>
    </row>
    <row r="871" spans="3:55" ht="12.9" customHeight="1">
      <c r="J871" s="45" t="s">
        <v>170</v>
      </c>
      <c r="K871" s="5"/>
      <c r="L871" s="5"/>
      <c r="M871" s="1658" t="s">
        <v>334</v>
      </c>
      <c r="N871" s="1659"/>
      <c r="O871" s="1659"/>
      <c r="P871" s="1659"/>
      <c r="Q871" s="1659"/>
      <c r="R871" s="1659"/>
      <c r="S871" s="1659"/>
      <c r="T871" s="1659"/>
      <c r="U871" s="1659"/>
      <c r="V871" s="1660"/>
      <c r="W871" s="1661"/>
      <c r="X871" s="1661"/>
      <c r="Y871" s="1661"/>
      <c r="Z871" s="1661"/>
      <c r="AA871" s="1661"/>
      <c r="AB871" s="1661"/>
      <c r="AC871" s="166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26">
        <f>SUM(W865:W871)</f>
        <v>36499</v>
      </c>
      <c r="X872" s="1626"/>
      <c r="Y872" s="1626"/>
      <c r="Z872" s="1626"/>
      <c r="AA872" s="1626"/>
      <c r="AB872" s="1626"/>
      <c r="AC872" s="1626"/>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58" t="s">
        <v>334</v>
      </c>
      <c r="N874" s="1659"/>
      <c r="O874" s="1659"/>
      <c r="P874" s="1659"/>
      <c r="Q874" s="1659"/>
      <c r="R874" s="1659"/>
      <c r="S874" s="1659"/>
      <c r="T874" s="1659"/>
      <c r="U874" s="1659"/>
      <c r="V874" s="1660"/>
      <c r="W874" s="1506"/>
      <c r="X874" s="1380"/>
      <c r="Y874" s="1380"/>
      <c r="Z874" s="1380"/>
      <c r="AA874" s="1380"/>
      <c r="AB874" s="1380"/>
      <c r="AC874" s="1381"/>
      <c r="AD874" s="533"/>
      <c r="AV874" s="14"/>
      <c r="AW874" s="14"/>
      <c r="AX874" s="14"/>
      <c r="AY874" s="14"/>
      <c r="AZ874" s="34"/>
      <c r="BA874" s="34"/>
      <c r="BB874" s="34"/>
      <c r="BC874" s="34"/>
    </row>
    <row r="875" spans="3:55" ht="12.9" customHeight="1">
      <c r="C875" s="2" t="s">
        <v>1245</v>
      </c>
      <c r="J875" s="45" t="s">
        <v>170</v>
      </c>
      <c r="K875" s="5"/>
      <c r="L875" s="5"/>
      <c r="M875" s="1658" t="s">
        <v>334</v>
      </c>
      <c r="N875" s="1659"/>
      <c r="O875" s="1659"/>
      <c r="P875" s="1659"/>
      <c r="Q875" s="1659"/>
      <c r="R875" s="1659"/>
      <c r="S875" s="1659"/>
      <c r="T875" s="1659"/>
      <c r="U875" s="1659"/>
      <c r="V875" s="1660"/>
      <c r="W875" s="1506"/>
      <c r="X875" s="1380"/>
      <c r="Y875" s="1380"/>
      <c r="Z875" s="1380"/>
      <c r="AA875" s="1380"/>
      <c r="AB875" s="1380"/>
      <c r="AC875" s="1381"/>
      <c r="AD875" s="533"/>
      <c r="AV875" s="14"/>
      <c r="AW875" s="14"/>
      <c r="AX875" s="14"/>
      <c r="AY875" s="14"/>
      <c r="AZ875" s="34"/>
      <c r="BA875" s="34"/>
      <c r="BB875" s="34"/>
      <c r="BC875" s="34"/>
    </row>
    <row r="876" spans="3:55" ht="12.9" customHeight="1">
      <c r="J876" s="45" t="s">
        <v>170</v>
      </c>
      <c r="K876" s="5"/>
      <c r="L876" s="5"/>
      <c r="M876" s="1658" t="s">
        <v>334</v>
      </c>
      <c r="N876" s="1659"/>
      <c r="O876" s="1659"/>
      <c r="P876" s="1659"/>
      <c r="Q876" s="1659"/>
      <c r="R876" s="1659"/>
      <c r="S876" s="1659"/>
      <c r="T876" s="1659"/>
      <c r="U876" s="1659"/>
      <c r="V876" s="1660"/>
      <c r="W876" s="1506"/>
      <c r="X876" s="1380"/>
      <c r="Y876" s="1380"/>
      <c r="Z876" s="1380"/>
      <c r="AA876" s="1380"/>
      <c r="AB876" s="1380"/>
      <c r="AC876" s="1381"/>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58" t="s">
        <v>334</v>
      </c>
      <c r="N877" s="1659"/>
      <c r="O877" s="1659"/>
      <c r="P877" s="1659"/>
      <c r="Q877" s="1659"/>
      <c r="R877" s="1659"/>
      <c r="S877" s="1659"/>
      <c r="T877" s="1659"/>
      <c r="U877" s="1659"/>
      <c r="V877" s="1660"/>
      <c r="W877" s="1506"/>
      <c r="X877" s="1380"/>
      <c r="Y877" s="1380"/>
      <c r="Z877" s="1380"/>
      <c r="AA877" s="1380"/>
      <c r="AB877" s="1380"/>
      <c r="AC877" s="1381"/>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58" t="s">
        <v>334</v>
      </c>
      <c r="N878" s="1659"/>
      <c r="O878" s="1659"/>
      <c r="P878" s="1659"/>
      <c r="Q878" s="1659"/>
      <c r="R878" s="1659"/>
      <c r="S878" s="1659"/>
      <c r="T878" s="1659"/>
      <c r="U878" s="1659"/>
      <c r="V878" s="1660"/>
      <c r="W878" s="1506"/>
      <c r="X878" s="1380"/>
      <c r="Y878" s="1380"/>
      <c r="Z878" s="1380"/>
      <c r="AA878" s="1380"/>
      <c r="AB878" s="1380"/>
      <c r="AC878" s="1381"/>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503">
        <f>SUM(W874:W878)</f>
        <v>0</v>
      </c>
      <c r="X879" s="1504"/>
      <c r="Y879" s="1504"/>
      <c r="Z879" s="1504"/>
      <c r="AA879" s="1504"/>
      <c r="AB879" s="1504"/>
      <c r="AC879" s="150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504">
        <f>W847+W855+W862+W863+W872+W879+W849</f>
        <v>234882</v>
      </c>
      <c r="AD883" s="1504"/>
      <c r="AE883" s="1504"/>
      <c r="AF883" s="1504"/>
      <c r="AG883" s="1504"/>
      <c r="AH883" s="150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75">
        <f>O797+O777+G753</f>
        <v>46</v>
      </c>
      <c r="AD884" s="1675"/>
      <c r="AE884" s="1675"/>
      <c r="AF884" s="1675"/>
      <c r="AG884" s="1675"/>
      <c r="AH884" s="1676"/>
      <c r="AL884" s="4"/>
      <c r="AM884" s="4"/>
      <c r="AN884" s="4"/>
      <c r="AO884" s="4"/>
      <c r="AP884" s="4"/>
      <c r="AQ884" s="4"/>
      <c r="AR884" s="4"/>
      <c r="AS884" s="4"/>
      <c r="AT884" s="4"/>
      <c r="AZ884" s="34"/>
      <c r="BA884" s="34"/>
      <c r="BB884" s="34"/>
      <c r="BC884" s="34"/>
    </row>
    <row r="885" spans="3:55" ht="12.9" customHeight="1">
      <c r="C885" s="41"/>
      <c r="D885" s="42"/>
      <c r="E885" s="1725" t="s">
        <v>32</v>
      </c>
      <c r="F885" s="1725"/>
      <c r="G885" s="1725"/>
      <c r="H885" s="1725"/>
      <c r="I885" s="1725"/>
      <c r="J885" s="1725"/>
      <c r="K885" s="1725"/>
      <c r="L885" s="1725"/>
      <c r="M885" s="1725"/>
      <c r="N885" s="1725"/>
      <c r="O885" s="1725"/>
      <c r="P885" s="1725"/>
      <c r="Q885" s="1725"/>
      <c r="R885" s="1725"/>
      <c r="S885" s="1725"/>
      <c r="T885" s="1725"/>
      <c r="U885" s="1725"/>
      <c r="V885" s="1725"/>
      <c r="W885" s="1725"/>
      <c r="X885" s="1725"/>
      <c r="Y885" s="1725"/>
      <c r="Z885" s="1725"/>
      <c r="AA885" s="1725"/>
      <c r="AB885" s="1726"/>
      <c r="AC885" s="1626">
        <f>IF(ISERROR((ROUNDDOWN(AC883/AC884,0))),0,(ROUNDDOWN(AC883/AC884,0)))</f>
        <v>5106</v>
      </c>
      <c r="AD885" s="1626"/>
      <c r="AE885" s="1626"/>
      <c r="AF885" s="1626"/>
      <c r="AG885" s="1626"/>
      <c r="AH885" s="1626"/>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4">
        <f>+'Sources and Uses Budget'!C75</f>
        <v>126064</v>
      </c>
      <c r="AD886" s="1645"/>
      <c r="AE886" s="1645"/>
      <c r="AF886" s="1645"/>
      <c r="AG886" s="1645"/>
      <c r="AH886" s="1645"/>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81"/>
      <c r="AD887" s="1661"/>
      <c r="AE887" s="1661"/>
      <c r="AF887" s="1661"/>
      <c r="AG887" s="1661"/>
      <c r="AH887" s="166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80">
        <v>10000</v>
      </c>
      <c r="AD888" s="1380"/>
      <c r="AE888" s="1380"/>
      <c r="AF888" s="1380"/>
      <c r="AG888" s="1380"/>
      <c r="AH888" s="1381"/>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80">
        <v>23000</v>
      </c>
      <c r="AD889" s="1380"/>
      <c r="AE889" s="1380"/>
      <c r="AF889" s="1380"/>
      <c r="AG889" s="1380"/>
      <c r="AH889" s="1381"/>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510"/>
      <c r="AD890" s="1511"/>
      <c r="AE890" s="1511"/>
      <c r="AF890" s="1511"/>
      <c r="AG890" s="1511"/>
      <c r="AH890" s="1512"/>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80"/>
      <c r="AD891" s="1380"/>
      <c r="AE891" s="1380"/>
      <c r="AF891" s="1380"/>
      <c r="AG891" s="1380"/>
      <c r="AH891" s="1381"/>
      <c r="AZ891" s="34"/>
      <c r="BA891" s="34"/>
      <c r="BB891" s="34"/>
      <c r="BC891" s="34"/>
    </row>
    <row r="892" spans="3:55" ht="12.9" hidden="1" customHeight="1">
      <c r="C892" s="1516" t="s">
        <v>2233</v>
      </c>
      <c r="D892" s="1517"/>
      <c r="E892" s="1517"/>
      <c r="F892" s="1517"/>
      <c r="G892" s="1517"/>
      <c r="H892" s="1517"/>
      <c r="I892" s="1517"/>
      <c r="J892" s="1517"/>
      <c r="K892" s="1517"/>
      <c r="L892" s="1517"/>
      <c r="M892" s="1517"/>
      <c r="N892" s="1517"/>
      <c r="O892" s="1517"/>
      <c r="P892" s="1517"/>
      <c r="Q892" s="1517"/>
      <c r="R892" s="1517"/>
      <c r="S892" s="1517"/>
      <c r="T892" s="1517"/>
      <c r="U892" s="1517"/>
      <c r="V892" s="1517"/>
      <c r="W892" s="1517"/>
      <c r="X892" s="1517"/>
      <c r="Y892" s="1517"/>
      <c r="Z892" s="1517"/>
      <c r="AA892" s="1517"/>
      <c r="AB892" s="1519"/>
      <c r="AC892" s="1380"/>
      <c r="AD892" s="1380"/>
      <c r="AE892" s="1380"/>
      <c r="AF892" s="1380"/>
      <c r="AG892" s="1380"/>
      <c r="AH892" s="1381"/>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80"/>
      <c r="AD893" s="1380"/>
      <c r="AE893" s="1380"/>
      <c r="AF893" s="1380"/>
      <c r="AG893" s="1380"/>
      <c r="AH893" s="1381"/>
      <c r="AZ893" s="34"/>
      <c r="BA893" s="34"/>
      <c r="BB893" s="34"/>
      <c r="BC893" s="34"/>
    </row>
    <row r="894" spans="3:55" ht="12.9" customHeight="1">
      <c r="C894" s="1716" t="s">
        <v>957</v>
      </c>
      <c r="D894" s="1717"/>
      <c r="E894" s="1717"/>
      <c r="F894" s="1717"/>
      <c r="G894" s="1717"/>
      <c r="H894" s="1717"/>
      <c r="I894" s="1717"/>
      <c r="J894" s="1717"/>
      <c r="K894" s="1717"/>
      <c r="L894" s="1717"/>
      <c r="M894" s="1717"/>
      <c r="N894" s="1717"/>
      <c r="O894" s="1717"/>
      <c r="P894" s="1717"/>
      <c r="Q894" s="1717"/>
      <c r="R894" s="1717"/>
      <c r="S894" s="1717"/>
      <c r="T894" s="1717"/>
      <c r="U894" s="1717"/>
      <c r="V894" s="1717"/>
      <c r="W894" s="1717"/>
      <c r="X894" s="1717"/>
      <c r="Y894" s="1717"/>
      <c r="Z894" s="1717"/>
      <c r="AA894" s="1717"/>
      <c r="AB894" s="1718"/>
      <c r="AC894" s="1661"/>
      <c r="AD894" s="1661"/>
      <c r="AE894" s="1661"/>
      <c r="AF894" s="1661"/>
      <c r="AG894" s="1661"/>
      <c r="AH894" s="1661"/>
      <c r="AZ894" s="34"/>
      <c r="BA894" s="34"/>
      <c r="BB894" s="34"/>
      <c r="BC894" s="34"/>
    </row>
    <row r="895" spans="3:55" ht="12.9" customHeight="1">
      <c r="C895" s="1716" t="s">
        <v>957</v>
      </c>
      <c r="D895" s="1717"/>
      <c r="E895" s="1717"/>
      <c r="F895" s="1717"/>
      <c r="G895" s="1717"/>
      <c r="H895" s="1717"/>
      <c r="I895" s="1717"/>
      <c r="J895" s="1717"/>
      <c r="K895" s="1717"/>
      <c r="L895" s="1717"/>
      <c r="M895" s="1717"/>
      <c r="N895" s="1717"/>
      <c r="O895" s="1717"/>
      <c r="P895" s="1717"/>
      <c r="Q895" s="1717"/>
      <c r="R895" s="1717"/>
      <c r="S895" s="1717"/>
      <c r="T895" s="1717"/>
      <c r="U895" s="1717"/>
      <c r="V895" s="1717"/>
      <c r="W895" s="1717"/>
      <c r="X895" s="1717"/>
      <c r="Y895" s="1717"/>
      <c r="Z895" s="1717"/>
      <c r="AA895" s="1717"/>
      <c r="AB895" s="1718"/>
      <c r="AC895" s="1661"/>
      <c r="AD895" s="1661"/>
      <c r="AE895" s="1661"/>
      <c r="AF895" s="1661"/>
      <c r="AG895" s="1661"/>
      <c r="AH895" s="166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506"/>
      <c r="AA899" s="1380"/>
      <c r="AB899" s="1380"/>
      <c r="AC899" s="1380"/>
      <c r="AD899" s="1380"/>
      <c r="AE899" s="1381"/>
      <c r="AF899" s="533"/>
      <c r="AZ899" s="34"/>
      <c r="BB899" s="30"/>
      <c r="BC899" s="816"/>
      <c r="BD899" s="1657"/>
      <c r="BE899" s="1657"/>
      <c r="BF899" s="14"/>
    </row>
    <row r="900" spans="1:58" ht="12.9" customHeight="1">
      <c r="H900" s="121" t="s">
        <v>239</v>
      </c>
      <c r="I900" s="5"/>
      <c r="J900" s="5"/>
      <c r="K900" s="5"/>
      <c r="L900" s="5"/>
      <c r="M900" s="5"/>
      <c r="N900" s="5"/>
      <c r="O900" s="5"/>
      <c r="P900" s="5"/>
      <c r="Q900" s="5"/>
      <c r="R900" s="5"/>
      <c r="S900" s="5"/>
      <c r="T900" s="5"/>
      <c r="U900" s="5"/>
      <c r="V900" s="5"/>
      <c r="W900" s="5"/>
      <c r="X900" s="5"/>
      <c r="Y900" s="5"/>
      <c r="Z900" s="1506"/>
      <c r="AA900" s="1380"/>
      <c r="AB900" s="1380"/>
      <c r="AC900" s="1380"/>
      <c r="AD900" s="1380"/>
      <c r="AE900" s="1381"/>
      <c r="AZ900" s="34"/>
      <c r="BB900" s="30"/>
      <c r="BC900" s="816"/>
      <c r="BD900" s="1657"/>
      <c r="BE900" s="1657"/>
      <c r="BF900" s="14"/>
    </row>
    <row r="901" spans="1:58" ht="12.9" customHeight="1">
      <c r="H901" s="121" t="s">
        <v>240</v>
      </c>
      <c r="I901" s="5"/>
      <c r="J901" s="5"/>
      <c r="K901" s="5"/>
      <c r="L901" s="5"/>
      <c r="M901" s="5"/>
      <c r="N901" s="5"/>
      <c r="O901" s="5"/>
      <c r="P901" s="5"/>
      <c r="Q901" s="5"/>
      <c r="R901" s="5"/>
      <c r="S901" s="5"/>
      <c r="T901" s="5"/>
      <c r="U901" s="5"/>
      <c r="V901" s="5"/>
      <c r="W901" s="5"/>
      <c r="X901" s="5"/>
      <c r="Y901" s="5"/>
      <c r="Z901" s="1506"/>
      <c r="AA901" s="1380"/>
      <c r="AB901" s="1380"/>
      <c r="AC901" s="1380"/>
      <c r="AD901" s="1380"/>
      <c r="AE901" s="1381"/>
      <c r="AZ901" s="34"/>
      <c r="BB901" s="30"/>
      <c r="BC901" s="816"/>
      <c r="BD901" s="1643"/>
      <c r="BE901" s="1643"/>
      <c r="BF901" s="14"/>
    </row>
    <row r="902" spans="1:58" ht="12.9" customHeight="1">
      <c r="H902" s="45"/>
      <c r="I902" s="5"/>
      <c r="J902" s="5"/>
      <c r="K902" s="5"/>
      <c r="L902" s="5"/>
      <c r="M902" s="5"/>
      <c r="N902" s="5"/>
      <c r="O902" s="5"/>
      <c r="P902" s="5"/>
      <c r="Q902" s="5"/>
      <c r="R902" s="5"/>
      <c r="S902" s="5"/>
      <c r="T902" s="5"/>
      <c r="U902" s="5"/>
      <c r="V902" s="5"/>
      <c r="W902" s="5"/>
      <c r="X902" s="5"/>
      <c r="Y902" s="181" t="s">
        <v>241</v>
      </c>
      <c r="Z902" s="1503">
        <f>Z899-(Z900+Z901)</f>
        <v>0</v>
      </c>
      <c r="AA902" s="1504"/>
      <c r="AB902" s="1504"/>
      <c r="AC902" s="1504"/>
      <c r="AD902" s="1504"/>
      <c r="AE902" s="1505"/>
      <c r="AZ902" s="34"/>
      <c r="BB902" s="30"/>
      <c r="BC902" s="816"/>
      <c r="BD902" s="1643"/>
      <c r="BE902" s="1643"/>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3"/>
      <c r="BE903" s="1643"/>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7"/>
      <c r="BE904" s="1643"/>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80"/>
      <c r="BE905" s="1680"/>
      <c r="BF905" s="1680"/>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9"/>
      <c r="BE906" s="1679"/>
      <c r="BF906" s="1679"/>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3"/>
      <c r="BE907" s="1643"/>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7"/>
      <c r="BE908" s="1643"/>
      <c r="BF908" s="14"/>
    </row>
    <row r="909" spans="1:58" ht="12.9" customHeight="1">
      <c r="AZ909" s="34"/>
      <c r="BB909" s="30"/>
      <c r="BC909" s="816"/>
    </row>
    <row r="910" spans="1:58" ht="12.9" customHeight="1">
      <c r="A910" s="1554" t="s">
        <v>96</v>
      </c>
      <c r="B910" s="1554"/>
      <c r="C910" s="1554"/>
      <c r="D910" s="1554"/>
      <c r="E910" s="1554"/>
      <c r="F910" s="1554"/>
      <c r="G910" s="1554"/>
      <c r="H910" s="1554"/>
      <c r="I910" s="1554"/>
      <c r="J910" s="1554"/>
      <c r="K910" s="1554"/>
      <c r="L910" s="1554"/>
      <c r="M910" s="1554"/>
      <c r="N910" s="1554"/>
      <c r="O910" s="1554"/>
      <c r="P910" s="1554"/>
      <c r="Q910" s="1554"/>
      <c r="R910" s="1554"/>
      <c r="S910" s="1554"/>
      <c r="T910" s="1554"/>
      <c r="U910" s="1554"/>
      <c r="V910" s="1554"/>
      <c r="W910" s="1554"/>
      <c r="X910" s="1554"/>
      <c r="Y910" s="1554"/>
      <c r="Z910" s="1554"/>
      <c r="AA910" s="1554"/>
      <c r="AB910" s="1554"/>
      <c r="AC910" s="1554"/>
      <c r="AD910" s="1554"/>
      <c r="AE910" s="1554"/>
      <c r="AF910" s="1554"/>
      <c r="AG910" s="1554"/>
      <c r="AH910" s="1554"/>
      <c r="AI910" s="1554"/>
      <c r="AJ910" s="1554"/>
      <c r="AK910" s="1554"/>
      <c r="AL910" s="1554"/>
      <c r="AM910" s="1554"/>
      <c r="AN910" s="1554"/>
      <c r="AO910" s="1554"/>
      <c r="AP910" s="1554"/>
      <c r="AQ910" s="1554"/>
      <c r="AR910" s="1554"/>
      <c r="AS910" s="1554"/>
      <c r="AT910" s="1554"/>
      <c r="AZ910" s="34"/>
      <c r="BA910" s="34"/>
      <c r="BB910" s="30"/>
      <c r="BC910" s="30"/>
      <c r="BD910" s="1657"/>
      <c r="BE910" s="1643"/>
      <c r="BF910" s="911"/>
    </row>
    <row r="911" spans="1:58" ht="12.9" customHeight="1">
      <c r="A911" s="1554"/>
      <c r="B911" s="1554"/>
      <c r="C911" s="1554"/>
      <c r="D911" s="1554"/>
      <c r="E911" s="1554"/>
      <c r="F911" s="1554"/>
      <c r="G911" s="1554"/>
      <c r="H911" s="1554"/>
      <c r="I911" s="1554"/>
      <c r="J911" s="1554"/>
      <c r="K911" s="1554"/>
      <c r="L911" s="1554"/>
      <c r="M911" s="1554"/>
      <c r="N911" s="1554"/>
      <c r="O911" s="1554"/>
      <c r="P911" s="1554"/>
      <c r="Q911" s="1554"/>
      <c r="R911" s="1554"/>
      <c r="S911" s="1554"/>
      <c r="T911" s="1554"/>
      <c r="U911" s="1554"/>
      <c r="V911" s="1554"/>
      <c r="W911" s="1554"/>
      <c r="X911" s="1554"/>
      <c r="Y911" s="1554"/>
      <c r="Z911" s="1554"/>
      <c r="AA911" s="1554"/>
      <c r="AB911" s="1554"/>
      <c r="AC911" s="1554"/>
      <c r="AD911" s="1554"/>
      <c r="AE911" s="1554"/>
      <c r="AF911" s="1554"/>
      <c r="AG911" s="1554"/>
      <c r="AH911" s="1554"/>
      <c r="AI911" s="1554"/>
      <c r="AJ911" s="1554"/>
      <c r="AK911" s="1554"/>
      <c r="AL911" s="1554"/>
      <c r="AM911" s="1554"/>
      <c r="AN911" s="1554"/>
      <c r="AO911" s="1554"/>
      <c r="AP911" s="1554"/>
      <c r="AQ911" s="1554"/>
      <c r="AR911" s="1554"/>
      <c r="AS911" s="1554"/>
      <c r="AT911" s="155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27" t="s">
        <v>793</v>
      </c>
      <c r="G915" s="1728"/>
      <c r="H915" s="1728"/>
      <c r="I915" s="1728"/>
      <c r="J915" s="1728"/>
      <c r="K915" s="1728"/>
      <c r="L915" s="1728"/>
      <c r="M915" s="1728"/>
      <c r="N915" s="1728"/>
      <c r="O915" s="1728"/>
      <c r="P915" s="1728"/>
      <c r="Q915" s="1728"/>
      <c r="R915" s="1728"/>
      <c r="S915" s="1728"/>
      <c r="T915" s="1729"/>
      <c r="U915" s="1774" t="s">
        <v>31</v>
      </c>
      <c r="V915" s="1629"/>
      <c r="W915" s="1629"/>
      <c r="X915" s="1629"/>
      <c r="Y915" s="1629"/>
      <c r="Z915" s="1629"/>
      <c r="AA915" s="43"/>
      <c r="AB915" s="105"/>
      <c r="AC915" s="105"/>
      <c r="AD915" s="105"/>
      <c r="AE915" s="105"/>
      <c r="AF915" s="106"/>
      <c r="AZ915" s="34"/>
      <c r="BA915" s="34"/>
      <c r="BB915" s="34"/>
      <c r="BC915" s="34"/>
    </row>
    <row r="916" spans="1:58" ht="12.9" customHeight="1">
      <c r="B916" s="2"/>
      <c r="F916" s="1733" t="s">
        <v>819</v>
      </c>
      <c r="G916" s="1734"/>
      <c r="H916" s="1734"/>
      <c r="I916" s="1734"/>
      <c r="J916" s="1734"/>
      <c r="K916" s="1734"/>
      <c r="L916" s="1734"/>
      <c r="M916" s="1734"/>
      <c r="N916" s="1734"/>
      <c r="O916" s="1734"/>
      <c r="P916" s="1734"/>
      <c r="Q916" s="1734"/>
      <c r="R916" s="1734"/>
      <c r="S916" s="1734"/>
      <c r="T916" s="1735"/>
      <c r="U916" s="1733"/>
      <c r="V916" s="1734"/>
      <c r="W916" s="1734"/>
      <c r="X916" s="1734"/>
      <c r="Y916" s="1734"/>
      <c r="Z916" s="1734"/>
      <c r="AA916" s="44"/>
      <c r="AB916" s="4"/>
      <c r="AC916" s="4"/>
      <c r="AD916" s="4"/>
      <c r="AE916" s="4"/>
      <c r="AF916" s="107"/>
      <c r="AZ916" s="34"/>
      <c r="BA916" s="34"/>
      <c r="BB916" s="34"/>
      <c r="BC916" s="34"/>
    </row>
    <row r="917" spans="1:58" ht="12.9" customHeight="1">
      <c r="B917" s="2"/>
      <c r="F917" s="1736"/>
      <c r="G917" s="1631"/>
      <c r="H917" s="1631"/>
      <c r="I917" s="1631"/>
      <c r="J917" s="1631"/>
      <c r="K917" s="1631"/>
      <c r="L917" s="1631"/>
      <c r="M917" s="1631"/>
      <c r="N917" s="1631"/>
      <c r="O917" s="1631"/>
      <c r="P917" s="1631"/>
      <c r="Q917" s="1631"/>
      <c r="R917" s="1631"/>
      <c r="S917" s="1631"/>
      <c r="T917" s="1632"/>
      <c r="U917" s="1736"/>
      <c r="V917" s="1631"/>
      <c r="W917" s="1631"/>
      <c r="X917" s="1631"/>
      <c r="Y917" s="1631"/>
      <c r="Z917" s="1631"/>
      <c r="AA917" s="108"/>
      <c r="AB917" s="1466" t="s">
        <v>391</v>
      </c>
      <c r="AC917" s="1466"/>
      <c r="AD917" s="1466"/>
      <c r="AE917" s="1466"/>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48" t="s">
        <v>546</v>
      </c>
      <c r="V918" s="1458"/>
      <c r="W918" s="1458"/>
      <c r="X918" s="1458"/>
      <c r="Y918" s="1458"/>
      <c r="Z918" s="1459"/>
      <c r="AA918" s="1646">
        <f>+AM554</f>
        <v>11036545</v>
      </c>
      <c r="AB918" s="1545"/>
      <c r="AC918" s="1545"/>
      <c r="AD918" s="1545"/>
      <c r="AE918" s="1545"/>
      <c r="AF918" s="1647"/>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48" t="s">
        <v>546</v>
      </c>
      <c r="V919" s="1458"/>
      <c r="W919" s="1458"/>
      <c r="X919" s="1458"/>
      <c r="Y919" s="1458"/>
      <c r="Z919" s="1459"/>
      <c r="AA919" s="1646">
        <f>+AM555</f>
        <v>8337975</v>
      </c>
      <c r="AB919" s="1545"/>
      <c r="AC919" s="1545"/>
      <c r="AD919" s="1545"/>
      <c r="AE919" s="1545"/>
      <c r="AF919" s="1647"/>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48" t="s">
        <v>592</v>
      </c>
      <c r="V920" s="1458"/>
      <c r="W920" s="1458"/>
      <c r="X920" s="1458"/>
      <c r="Y920" s="1458"/>
      <c r="Z920" s="1459"/>
      <c r="AA920" s="1646"/>
      <c r="AB920" s="1545"/>
      <c r="AC920" s="1545"/>
      <c r="AD920" s="1545"/>
      <c r="AE920" s="1545"/>
      <c r="AF920" s="1647"/>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48" t="s">
        <v>592</v>
      </c>
      <c r="V921" s="1458"/>
      <c r="W921" s="1458"/>
      <c r="X921" s="1458"/>
      <c r="Y921" s="1458"/>
      <c r="Z921" s="1459"/>
      <c r="AA921" s="1646"/>
      <c r="AB921" s="1545"/>
      <c r="AC921" s="1545"/>
      <c r="AD921" s="1545"/>
      <c r="AE921" s="1545"/>
      <c r="AF921" s="1647"/>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48" t="s">
        <v>592</v>
      </c>
      <c r="V922" s="1458"/>
      <c r="W922" s="1458"/>
      <c r="X922" s="1458"/>
      <c r="Y922" s="1458"/>
      <c r="Z922" s="1459"/>
      <c r="AA922" s="1646"/>
      <c r="AB922" s="1545"/>
      <c r="AC922" s="1545"/>
      <c r="AD922" s="1545"/>
      <c r="AE922" s="1545"/>
      <c r="AF922" s="1647"/>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48" t="s">
        <v>592</v>
      </c>
      <c r="V923" s="1458"/>
      <c r="W923" s="1458"/>
      <c r="X923" s="1458"/>
      <c r="Y923" s="1458"/>
      <c r="Z923" s="1459"/>
      <c r="AA923" s="1646"/>
      <c r="AB923" s="1545"/>
      <c r="AC923" s="1545"/>
      <c r="AD923" s="1545"/>
      <c r="AE923" s="1545"/>
      <c r="AF923" s="1647"/>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48" t="s">
        <v>592</v>
      </c>
      <c r="V924" s="1458"/>
      <c r="W924" s="1458"/>
      <c r="X924" s="1458"/>
      <c r="Y924" s="1458"/>
      <c r="Z924" s="1459"/>
      <c r="AA924" s="1646"/>
      <c r="AB924" s="1545"/>
      <c r="AC924" s="1545"/>
      <c r="AD924" s="1545"/>
      <c r="AE924" s="1545"/>
      <c r="AF924" s="1647"/>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48" t="s">
        <v>592</v>
      </c>
      <c r="V925" s="1458"/>
      <c r="W925" s="1458"/>
      <c r="X925" s="1458"/>
      <c r="Y925" s="1458"/>
      <c r="Z925" s="1459"/>
      <c r="AA925" s="1646"/>
      <c r="AB925" s="1545"/>
      <c r="AC925" s="1545"/>
      <c r="AD925" s="1545"/>
      <c r="AE925" s="1545"/>
      <c r="AF925" s="1647"/>
      <c r="AZ925" s="34"/>
      <c r="BA925" s="34"/>
      <c r="BB925" s="34"/>
      <c r="BC925" s="34"/>
    </row>
    <row r="926" spans="1:58" ht="12.9" customHeight="1">
      <c r="F926" s="1649" t="s">
        <v>2193</v>
      </c>
      <c r="G926" s="1650"/>
      <c r="H926" s="1650"/>
      <c r="I926" s="1650"/>
      <c r="J926" s="1650"/>
      <c r="K926" s="1650"/>
      <c r="L926" s="1650"/>
      <c r="M926" s="1650"/>
      <c r="N926" s="1650"/>
      <c r="O926" s="1650"/>
      <c r="P926" s="1650"/>
      <c r="Q926" s="1650"/>
      <c r="R926" s="1650"/>
      <c r="S926" s="1650"/>
      <c r="T926" s="1651"/>
      <c r="U926" s="1648" t="s">
        <v>592</v>
      </c>
      <c r="V926" s="1458"/>
      <c r="W926" s="1458"/>
      <c r="X926" s="1458"/>
      <c r="Y926" s="1458"/>
      <c r="Z926" s="1459"/>
      <c r="AA926" s="1646"/>
      <c r="AB926" s="1545"/>
      <c r="AC926" s="1545"/>
      <c r="AD926" s="1545"/>
      <c r="AE926" s="1545"/>
      <c r="AF926" s="1647"/>
      <c r="AZ926" s="34"/>
      <c r="BA926" s="34"/>
      <c r="BB926" s="34"/>
      <c r="BC926" s="34"/>
    </row>
    <row r="927" spans="1:58" ht="12.9" customHeight="1">
      <c r="F927" s="1649" t="s">
        <v>680</v>
      </c>
      <c r="G927" s="1650"/>
      <c r="H927" s="1650"/>
      <c r="I927" s="1650"/>
      <c r="J927" s="1650"/>
      <c r="K927" s="1650"/>
      <c r="L927" s="1650"/>
      <c r="M927" s="1650"/>
      <c r="N927" s="1650"/>
      <c r="O927" s="1650"/>
      <c r="P927" s="1650"/>
      <c r="Q927" s="1650"/>
      <c r="R927" s="1650"/>
      <c r="S927" s="1650"/>
      <c r="T927" s="1651"/>
      <c r="U927" s="1648" t="s">
        <v>592</v>
      </c>
      <c r="V927" s="1458"/>
      <c r="W927" s="1458"/>
      <c r="X927" s="1458"/>
      <c r="Y927" s="1458"/>
      <c r="Z927" s="1459"/>
      <c r="AA927" s="1646"/>
      <c r="AB927" s="1545"/>
      <c r="AC927" s="1545"/>
      <c r="AD927" s="1545"/>
      <c r="AE927" s="1545"/>
      <c r="AF927" s="1647"/>
      <c r="AU927" s="2"/>
      <c r="AZ927" s="34"/>
      <c r="BA927" s="34"/>
      <c r="BB927" s="34"/>
      <c r="BC927" s="34"/>
    </row>
    <row r="928" spans="1:58" ht="12.9" customHeight="1">
      <c r="F928" s="1649" t="s">
        <v>2194</v>
      </c>
      <c r="G928" s="1650"/>
      <c r="H928" s="1650"/>
      <c r="I928" s="1650"/>
      <c r="J928" s="1650"/>
      <c r="K928" s="1650"/>
      <c r="L928" s="1650"/>
      <c r="M928" s="1650"/>
      <c r="N928" s="1650"/>
      <c r="O928" s="1650"/>
      <c r="P928" s="1650"/>
      <c r="Q928" s="1650"/>
      <c r="R928" s="1650"/>
      <c r="S928" s="1650"/>
      <c r="T928" s="1651"/>
      <c r="U928" s="1648" t="s">
        <v>592</v>
      </c>
      <c r="V928" s="1458"/>
      <c r="W928" s="1458"/>
      <c r="X928" s="1458"/>
      <c r="Y928" s="1458"/>
      <c r="Z928" s="1459"/>
      <c r="AA928" s="1646"/>
      <c r="AB928" s="1545"/>
      <c r="AC928" s="1545"/>
      <c r="AD928" s="1545"/>
      <c r="AE928" s="1545"/>
      <c r="AF928" s="1647"/>
      <c r="AU928" s="2"/>
      <c r="AZ928" s="34"/>
      <c r="BA928" s="34"/>
      <c r="BB928" s="34"/>
      <c r="BC928" s="34"/>
    </row>
    <row r="929" spans="6:55" ht="12.9" customHeight="1">
      <c r="F929" s="1649" t="s">
        <v>2195</v>
      </c>
      <c r="G929" s="1650"/>
      <c r="H929" s="1650"/>
      <c r="I929" s="1650"/>
      <c r="J929" s="1650"/>
      <c r="K929" s="1650"/>
      <c r="L929" s="1650"/>
      <c r="M929" s="1650"/>
      <c r="N929" s="1650"/>
      <c r="O929" s="1650"/>
      <c r="P929" s="1650"/>
      <c r="Q929" s="1650"/>
      <c r="R929" s="1650"/>
      <c r="S929" s="1650"/>
      <c r="T929" s="1651"/>
      <c r="U929" s="1648" t="s">
        <v>592</v>
      </c>
      <c r="V929" s="1458"/>
      <c r="W929" s="1458"/>
      <c r="X929" s="1458"/>
      <c r="Y929" s="1458"/>
      <c r="Z929" s="1459"/>
      <c r="AA929" s="1646"/>
      <c r="AB929" s="1545"/>
      <c r="AC929" s="1545"/>
      <c r="AD929" s="1545"/>
      <c r="AE929" s="1545"/>
      <c r="AF929" s="1647"/>
      <c r="AU929" s="2"/>
      <c r="AZ929" s="34"/>
      <c r="BA929" s="34"/>
      <c r="BB929" s="34"/>
      <c r="BC929" s="34"/>
    </row>
    <row r="930" spans="6:55" ht="12.9" customHeight="1">
      <c r="F930" s="1649" t="s">
        <v>2196</v>
      </c>
      <c r="G930" s="1650"/>
      <c r="H930" s="1650"/>
      <c r="I930" s="1650"/>
      <c r="J930" s="1650"/>
      <c r="K930" s="1650"/>
      <c r="L930" s="1650"/>
      <c r="M930" s="1650"/>
      <c r="N930" s="1650"/>
      <c r="O930" s="1650"/>
      <c r="P930" s="1650"/>
      <c r="Q930" s="1650"/>
      <c r="R930" s="1650"/>
      <c r="S930" s="1650"/>
      <c r="T930" s="1651"/>
      <c r="U930" s="1648" t="s">
        <v>592</v>
      </c>
      <c r="V930" s="1458"/>
      <c r="W930" s="1458"/>
      <c r="X930" s="1458"/>
      <c r="Y930" s="1458"/>
      <c r="Z930" s="1459"/>
      <c r="AA930" s="1646"/>
      <c r="AB930" s="1545"/>
      <c r="AC930" s="1545"/>
      <c r="AD930" s="1545"/>
      <c r="AE930" s="1545"/>
      <c r="AF930" s="1647"/>
      <c r="AU930" s="2"/>
      <c r="AZ930" s="34"/>
      <c r="BA930" s="34"/>
      <c r="BB930" s="34"/>
      <c r="BC930" s="34"/>
    </row>
    <row r="931" spans="6:55" ht="12.9" customHeight="1">
      <c r="F931" s="1649" t="s">
        <v>2197</v>
      </c>
      <c r="G931" s="1650"/>
      <c r="H931" s="1650"/>
      <c r="I931" s="1650"/>
      <c r="J931" s="1650"/>
      <c r="K931" s="1650"/>
      <c r="L931" s="1650"/>
      <c r="M931" s="1650"/>
      <c r="N931" s="1650"/>
      <c r="O931" s="1650"/>
      <c r="P931" s="1650"/>
      <c r="Q931" s="1650"/>
      <c r="R931" s="1650"/>
      <c r="S931" s="1650"/>
      <c r="T931" s="1651"/>
      <c r="U931" s="1648" t="s">
        <v>592</v>
      </c>
      <c r="V931" s="1458"/>
      <c r="W931" s="1458"/>
      <c r="X931" s="1458"/>
      <c r="Y931" s="1458"/>
      <c r="Z931" s="1459"/>
      <c r="AA931" s="1646"/>
      <c r="AB931" s="1545"/>
      <c r="AC931" s="1545"/>
      <c r="AD931" s="1545"/>
      <c r="AE931" s="1545"/>
      <c r="AF931" s="1647"/>
      <c r="AU931" s="2"/>
      <c r="AZ931" s="34"/>
      <c r="BA931" s="34"/>
      <c r="BB931" s="34"/>
      <c r="BC931" s="34"/>
    </row>
    <row r="932" spans="6:55" ht="12.9" customHeight="1">
      <c r="F932" s="1649" t="s">
        <v>2198</v>
      </c>
      <c r="G932" s="1650"/>
      <c r="H932" s="1650"/>
      <c r="I932" s="1650"/>
      <c r="J932" s="1650"/>
      <c r="K932" s="1650"/>
      <c r="L932" s="1650"/>
      <c r="M932" s="1650"/>
      <c r="N932" s="1650"/>
      <c r="O932" s="1650"/>
      <c r="P932" s="1650"/>
      <c r="Q932" s="1650"/>
      <c r="R932" s="1650"/>
      <c r="S932" s="1650"/>
      <c r="T932" s="1651"/>
      <c r="U932" s="1648" t="s">
        <v>592</v>
      </c>
      <c r="V932" s="1458"/>
      <c r="W932" s="1458"/>
      <c r="X932" s="1458"/>
      <c r="Y932" s="1458"/>
      <c r="Z932" s="1459"/>
      <c r="AA932" s="1646"/>
      <c r="AB932" s="1545"/>
      <c r="AC932" s="1545"/>
      <c r="AD932" s="1545"/>
      <c r="AE932" s="1545"/>
      <c r="AF932" s="1647"/>
      <c r="AZ932" s="30"/>
      <c r="BA932" s="30"/>
    </row>
    <row r="933" spans="6:55" ht="12.9" customHeight="1">
      <c r="F933" s="178" t="s">
        <v>677</v>
      </c>
      <c r="G933" s="5"/>
      <c r="H933" s="5"/>
      <c r="I933" s="5"/>
      <c r="J933" s="5"/>
      <c r="K933" s="5"/>
      <c r="L933" s="5"/>
      <c r="M933" s="5"/>
      <c r="N933" s="5"/>
      <c r="O933" s="5"/>
      <c r="P933" s="5"/>
      <c r="Q933" s="5"/>
      <c r="R933" s="5"/>
      <c r="S933" s="5"/>
      <c r="T933" s="46"/>
      <c r="U933" s="1648" t="s">
        <v>592</v>
      </c>
      <c r="V933" s="1458"/>
      <c r="W933" s="1458"/>
      <c r="X933" s="1458"/>
      <c r="Y933" s="1458"/>
      <c r="Z933" s="1459"/>
      <c r="AA933" s="1646"/>
      <c r="AB933" s="1545"/>
      <c r="AC933" s="1545"/>
      <c r="AD933" s="1545"/>
      <c r="AE933" s="1545"/>
      <c r="AF933" s="1647"/>
    </row>
    <row r="934" spans="6:55" ht="12.9" customHeight="1">
      <c r="F934" s="121" t="s">
        <v>1278</v>
      </c>
      <c r="G934" s="5"/>
      <c r="H934" s="5"/>
      <c r="I934" s="5"/>
      <c r="J934" s="5"/>
      <c r="K934" s="5"/>
      <c r="L934" s="5"/>
      <c r="M934" s="5"/>
      <c r="N934" s="5"/>
      <c r="O934" s="5"/>
      <c r="P934" s="5"/>
      <c r="Q934" s="5"/>
      <c r="R934" s="5"/>
      <c r="S934" s="5"/>
      <c r="T934" s="46"/>
      <c r="U934" s="1648" t="s">
        <v>592</v>
      </c>
      <c r="V934" s="1458"/>
      <c r="W934" s="1458"/>
      <c r="X934" s="1458"/>
      <c r="Y934" s="1458"/>
      <c r="Z934" s="1459"/>
      <c r="AA934" s="1646"/>
      <c r="AB934" s="1545"/>
      <c r="AC934" s="1545"/>
      <c r="AD934" s="1545"/>
      <c r="AE934" s="1545"/>
      <c r="AF934" s="1647"/>
      <c r="AZ934" s="30"/>
      <c r="BA934" s="14"/>
    </row>
    <row r="935" spans="6:55" ht="12.9" customHeight="1">
      <c r="F935" s="66" t="s">
        <v>803</v>
      </c>
      <c r="G935" s="5"/>
      <c r="H935" s="5"/>
      <c r="I935" s="5"/>
      <c r="J935" s="5"/>
      <c r="K935" s="5"/>
      <c r="L935" s="5"/>
      <c r="M935" s="5"/>
      <c r="N935" s="5"/>
      <c r="O935" s="5"/>
      <c r="P935" s="5"/>
      <c r="Q935" s="5"/>
      <c r="R935" s="5"/>
      <c r="S935" s="5"/>
      <c r="T935" s="46"/>
      <c r="U935" s="1648" t="s">
        <v>592</v>
      </c>
      <c r="V935" s="1458"/>
      <c r="W935" s="1458"/>
      <c r="X935" s="1458"/>
      <c r="Y935" s="1458"/>
      <c r="Z935" s="1459"/>
      <c r="AA935" s="1646"/>
      <c r="AB935" s="1545"/>
      <c r="AC935" s="1545"/>
      <c r="AD935" s="1545"/>
      <c r="AE935" s="1545"/>
      <c r="AF935" s="1647"/>
      <c r="AZ935" s="30"/>
      <c r="BA935" s="14"/>
    </row>
    <row r="936" spans="6:55" ht="12.9" customHeight="1">
      <c r="F936" s="1681" t="s">
        <v>2202</v>
      </c>
      <c r="G936" s="1682"/>
      <c r="H936" s="1682"/>
      <c r="I936" s="1682"/>
      <c r="J936" s="1682"/>
      <c r="K936" s="1682"/>
      <c r="L936" s="1682"/>
      <c r="M936" s="1682"/>
      <c r="N936" s="1682"/>
      <c r="O936" s="1682"/>
      <c r="P936" s="1682"/>
      <c r="Q936" s="1682"/>
      <c r="R936" s="1682"/>
      <c r="S936" s="1682"/>
      <c r="T936" s="1683"/>
      <c r="U936" s="1648" t="s">
        <v>592</v>
      </c>
      <c r="V936" s="1458"/>
      <c r="W936" s="1458"/>
      <c r="X936" s="1458"/>
      <c r="Y936" s="1458"/>
      <c r="Z936" s="1459"/>
      <c r="AA936" s="1646"/>
      <c r="AB936" s="1545"/>
      <c r="AC936" s="1545"/>
      <c r="AD936" s="1545"/>
      <c r="AE936" s="1545"/>
      <c r="AF936" s="1647"/>
      <c r="AZ936" s="30"/>
      <c r="BA936" s="14"/>
    </row>
    <row r="937" spans="6:55" ht="12.9" customHeight="1">
      <c r="F937" s="1681" t="s">
        <v>2203</v>
      </c>
      <c r="G937" s="1682"/>
      <c r="H937" s="1682"/>
      <c r="I937" s="1682"/>
      <c r="J937" s="1682"/>
      <c r="K937" s="1682"/>
      <c r="L937" s="1682"/>
      <c r="M937" s="1682"/>
      <c r="N937" s="1682"/>
      <c r="O937" s="1682"/>
      <c r="P937" s="1682"/>
      <c r="Q937" s="1682"/>
      <c r="R937" s="1682"/>
      <c r="S937" s="1682"/>
      <c r="T937" s="1683"/>
      <c r="U937" s="1648" t="s">
        <v>592</v>
      </c>
      <c r="V937" s="1458"/>
      <c r="W937" s="1458"/>
      <c r="X937" s="1458"/>
      <c r="Y937" s="1458"/>
      <c r="Z937" s="1459"/>
      <c r="AA937" s="1646"/>
      <c r="AB937" s="1545"/>
      <c r="AC937" s="1545"/>
      <c r="AD937" s="1545"/>
      <c r="AE937" s="1545"/>
      <c r="AF937" s="1647"/>
      <c r="AZ937" s="30"/>
      <c r="BA937" s="30"/>
    </row>
    <row r="938" spans="6:55" ht="12.9" customHeight="1">
      <c r="F938" s="1649" t="s">
        <v>2199</v>
      </c>
      <c r="G938" s="1650"/>
      <c r="H938" s="1650"/>
      <c r="I938" s="1650"/>
      <c r="J938" s="1650"/>
      <c r="K938" s="1650"/>
      <c r="L938" s="1650"/>
      <c r="M938" s="1650"/>
      <c r="N938" s="1650"/>
      <c r="O938" s="1650"/>
      <c r="P938" s="1650"/>
      <c r="Q938" s="1650"/>
      <c r="R938" s="1650"/>
      <c r="S938" s="1650"/>
      <c r="T938" s="1651"/>
      <c r="U938" s="1648" t="s">
        <v>592</v>
      </c>
      <c r="V938" s="1458"/>
      <c r="W938" s="1458"/>
      <c r="X938" s="1458"/>
      <c r="Y938" s="1458"/>
      <c r="Z938" s="1459"/>
      <c r="AA938" s="1646"/>
      <c r="AB938" s="1545"/>
      <c r="AC938" s="1545"/>
      <c r="AD938" s="1545"/>
      <c r="AE938" s="1545"/>
      <c r="AF938" s="1647"/>
      <c r="AZ938" s="30"/>
      <c r="BA938" s="30"/>
    </row>
    <row r="939" spans="6:55" ht="12.9" customHeight="1">
      <c r="F939" s="1649" t="s">
        <v>2200</v>
      </c>
      <c r="G939" s="1650"/>
      <c r="H939" s="1650"/>
      <c r="I939" s="1650"/>
      <c r="J939" s="1650"/>
      <c r="K939" s="1650"/>
      <c r="L939" s="1650"/>
      <c r="M939" s="1650"/>
      <c r="N939" s="1650"/>
      <c r="O939" s="1650"/>
      <c r="P939" s="1650"/>
      <c r="Q939" s="1650"/>
      <c r="R939" s="1650"/>
      <c r="S939" s="1650"/>
      <c r="T939" s="1651"/>
      <c r="U939" s="1648" t="s">
        <v>592</v>
      </c>
      <c r="V939" s="1458"/>
      <c r="W939" s="1458"/>
      <c r="X939" s="1458"/>
      <c r="Y939" s="1458"/>
      <c r="Z939" s="1459"/>
      <c r="AA939" s="1646"/>
      <c r="AB939" s="1545"/>
      <c r="AC939" s="1545"/>
      <c r="AD939" s="1545"/>
      <c r="AE939" s="1545"/>
      <c r="AF939" s="1647"/>
      <c r="AZ939" s="30"/>
      <c r="BA939" s="30"/>
    </row>
    <row r="940" spans="6:55" ht="12.9" customHeight="1">
      <c r="F940" s="1649" t="s">
        <v>2201</v>
      </c>
      <c r="G940" s="1650"/>
      <c r="H940" s="1650"/>
      <c r="I940" s="1650"/>
      <c r="J940" s="1650"/>
      <c r="K940" s="1650"/>
      <c r="L940" s="1650"/>
      <c r="M940" s="1650"/>
      <c r="N940" s="1650"/>
      <c r="O940" s="1650"/>
      <c r="P940" s="1650"/>
      <c r="Q940" s="1650"/>
      <c r="R940" s="1650"/>
      <c r="S940" s="1650"/>
      <c r="T940" s="1651"/>
      <c r="U940" s="1648" t="s">
        <v>592</v>
      </c>
      <c r="V940" s="1458"/>
      <c r="W940" s="1458"/>
      <c r="X940" s="1458"/>
      <c r="Y940" s="1458"/>
      <c r="Z940" s="1459"/>
      <c r="AA940" s="1646"/>
      <c r="AB940" s="1545"/>
      <c r="AC940" s="1545"/>
      <c r="AD940" s="1545"/>
      <c r="AE940" s="1545"/>
      <c r="AF940" s="1647"/>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48" t="s">
        <v>592</v>
      </c>
      <c r="V941" s="1458"/>
      <c r="W941" s="1458"/>
      <c r="X941" s="1458"/>
      <c r="Y941" s="1458"/>
      <c r="Z941" s="1459"/>
      <c r="AA941" s="1646"/>
      <c r="AB941" s="1545"/>
      <c r="AC941" s="1545"/>
      <c r="AD941" s="1545"/>
      <c r="AE941" s="1545"/>
      <c r="AF941" s="1647"/>
      <c r="AZ941" s="34"/>
      <c r="BA941" s="34"/>
      <c r="BB941" s="14"/>
      <c r="BC941" s="14"/>
    </row>
    <row r="942" spans="6:55" ht="12.9" customHeight="1">
      <c r="F942" s="1681" t="s">
        <v>2204</v>
      </c>
      <c r="G942" s="1682"/>
      <c r="H942" s="1682"/>
      <c r="I942" s="1682"/>
      <c r="J942" s="1682"/>
      <c r="K942" s="1682"/>
      <c r="L942" s="1682"/>
      <c r="M942" s="1682"/>
      <c r="N942" s="1682"/>
      <c r="O942" s="1682"/>
      <c r="P942" s="1682"/>
      <c r="Q942" s="1682"/>
      <c r="R942" s="1682"/>
      <c r="S942" s="1682"/>
      <c r="T942" s="1683"/>
      <c r="U942" s="1648" t="s">
        <v>592</v>
      </c>
      <c r="V942" s="1458"/>
      <c r="W942" s="1458"/>
      <c r="X942" s="1458"/>
      <c r="Y942" s="1458"/>
      <c r="Z942" s="1459"/>
      <c r="AA942" s="1646"/>
      <c r="AB942" s="1545"/>
      <c r="AC942" s="1545"/>
      <c r="AD942" s="1545"/>
      <c r="AE942" s="1545"/>
      <c r="AF942" s="1647"/>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48" t="s">
        <v>592</v>
      </c>
      <c r="V943" s="1458"/>
      <c r="W943" s="1458"/>
      <c r="X943" s="1458"/>
      <c r="Y943" s="1458"/>
      <c r="Z943" s="1459"/>
      <c r="AA943" s="1646"/>
      <c r="AB943" s="1545"/>
      <c r="AC943" s="1545"/>
      <c r="AD943" s="1545"/>
      <c r="AE943" s="1545"/>
      <c r="AF943" s="1647"/>
      <c r="AZ943" s="34"/>
      <c r="BA943" s="34"/>
      <c r="BB943" s="34"/>
      <c r="BC943" s="34"/>
    </row>
    <row r="944" spans="6:55" ht="12.9" customHeight="1">
      <c r="F944" s="1681" t="s">
        <v>2205</v>
      </c>
      <c r="G944" s="1682"/>
      <c r="H944" s="1682"/>
      <c r="I944" s="1682"/>
      <c r="J944" s="1682"/>
      <c r="K944" s="1682"/>
      <c r="L944" s="1682"/>
      <c r="M944" s="1682"/>
      <c r="N944" s="1682"/>
      <c r="O944" s="1682"/>
      <c r="P944" s="1682"/>
      <c r="Q944" s="1682"/>
      <c r="R944" s="1682"/>
      <c r="S944" s="1682"/>
      <c r="T944" s="1683"/>
      <c r="U944" s="1648" t="s">
        <v>592</v>
      </c>
      <c r="V944" s="1458"/>
      <c r="W944" s="1458"/>
      <c r="X944" s="1458"/>
      <c r="Y944" s="1458"/>
      <c r="Z944" s="1459"/>
      <c r="AA944" s="1646"/>
      <c r="AB944" s="1545"/>
      <c r="AC944" s="1545"/>
      <c r="AD944" s="1545"/>
      <c r="AE944" s="1545"/>
      <c r="AF944" s="1647"/>
      <c r="AZ944" s="34"/>
      <c r="BA944" s="34"/>
      <c r="BB944" s="34"/>
      <c r="BC944" s="34"/>
    </row>
    <row r="945" spans="1:55" ht="12.9" customHeight="1">
      <c r="F945" s="45" t="s">
        <v>807</v>
      </c>
      <c r="G945" s="5"/>
      <c r="H945" s="5"/>
      <c r="I945" s="5"/>
      <c r="J945" s="5"/>
      <c r="K945" s="5"/>
      <c r="L945" s="5"/>
      <c r="M945" s="5"/>
      <c r="N945" s="5"/>
      <c r="O945" s="5"/>
      <c r="P945" s="1648" t="s">
        <v>670</v>
      </c>
      <c r="Q945" s="1458"/>
      <c r="R945" s="1458"/>
      <c r="S945" s="1458"/>
      <c r="T945" s="1459"/>
      <c r="U945" s="1648" t="s">
        <v>592</v>
      </c>
      <c r="V945" s="1458"/>
      <c r="W945" s="1458"/>
      <c r="X945" s="1458"/>
      <c r="Y945" s="1458"/>
      <c r="Z945" s="1459"/>
      <c r="AA945" s="1646"/>
      <c r="AB945" s="1545"/>
      <c r="AC945" s="1545"/>
      <c r="AD945" s="1545"/>
      <c r="AE945" s="1545"/>
      <c r="AF945" s="1647"/>
      <c r="AZ945" s="34"/>
      <c r="BA945" s="34"/>
      <c r="BB945" s="34"/>
      <c r="BC945" s="34"/>
    </row>
    <row r="946" spans="1:55" ht="12.9" customHeight="1">
      <c r="F946" s="1649" t="s">
        <v>2192</v>
      </c>
      <c r="G946" s="1650"/>
      <c r="H946" s="1651"/>
      <c r="I946" s="1658" t="s">
        <v>334</v>
      </c>
      <c r="J946" s="1659"/>
      <c r="K946" s="1659"/>
      <c r="L946" s="1659"/>
      <c r="M946" s="1659"/>
      <c r="N946" s="1659"/>
      <c r="O946" s="1659"/>
      <c r="P946" s="1659"/>
      <c r="Q946" s="1659"/>
      <c r="R946" s="1659"/>
      <c r="S946" s="1659"/>
      <c r="T946" s="1660"/>
      <c r="U946" s="1648" t="s">
        <v>592</v>
      </c>
      <c r="V946" s="1458"/>
      <c r="W946" s="1458"/>
      <c r="X946" s="1458"/>
      <c r="Y946" s="1458"/>
      <c r="Z946" s="1459"/>
      <c r="AA946" s="1646"/>
      <c r="AB946" s="1545"/>
      <c r="AC946" s="1545"/>
      <c r="AD946" s="1545"/>
      <c r="AE946" s="1545"/>
      <c r="AF946" s="1647"/>
      <c r="AZ946" s="34"/>
      <c r="BA946" s="34"/>
      <c r="BB946" s="34"/>
      <c r="BC946" s="34"/>
    </row>
    <row r="947" spans="1:55" ht="12.9" customHeight="1">
      <c r="F947" s="45" t="s">
        <v>86</v>
      </c>
      <c r="G947" s="48"/>
      <c r="H947" s="48"/>
      <c r="I947" s="1658" t="s">
        <v>2738</v>
      </c>
      <c r="J947" s="1659"/>
      <c r="K947" s="1659"/>
      <c r="L947" s="1659"/>
      <c r="M947" s="1659"/>
      <c r="N947" s="1659"/>
      <c r="O947" s="1659"/>
      <c r="P947" s="1659"/>
      <c r="Q947" s="1659"/>
      <c r="R947" s="1659"/>
      <c r="S947" s="1659"/>
      <c r="T947" s="1660"/>
      <c r="U947" s="1648" t="s">
        <v>546</v>
      </c>
      <c r="V947" s="1458"/>
      <c r="W947" s="1458"/>
      <c r="X947" s="1458"/>
      <c r="Y947" s="1458"/>
      <c r="Z947" s="1459"/>
      <c r="AA947" s="1646">
        <f>+AO633</f>
        <v>4000000</v>
      </c>
      <c r="AB947" s="1545"/>
      <c r="AC947" s="1545"/>
      <c r="AD947" s="1545"/>
      <c r="AE947" s="1545"/>
      <c r="AF947" s="1647"/>
      <c r="AZ947" s="34"/>
      <c r="BA947" s="34"/>
      <c r="BB947" s="34"/>
      <c r="BC947" s="34"/>
    </row>
    <row r="948" spans="1:55" ht="12.9" customHeight="1">
      <c r="F948" s="45" t="s">
        <v>10</v>
      </c>
      <c r="G948" s="48"/>
      <c r="H948" s="48"/>
      <c r="I948" s="1658" t="s">
        <v>2615</v>
      </c>
      <c r="J948" s="1710"/>
      <c r="K948" s="1710"/>
      <c r="L948" s="1710"/>
      <c r="M948" s="1710"/>
      <c r="N948" s="1710"/>
      <c r="O948" s="1710"/>
      <c r="P948" s="1710"/>
      <c r="Q948" s="1710"/>
      <c r="R948" s="1710"/>
      <c r="S948" s="1710"/>
      <c r="T948" s="1711"/>
      <c r="U948" s="1648" t="s">
        <v>546</v>
      </c>
      <c r="V948" s="1458"/>
      <c r="W948" s="1458"/>
      <c r="X948" s="1458"/>
      <c r="Y948" s="1458"/>
      <c r="Z948" s="1459"/>
      <c r="AA948" s="1646">
        <f>+AO632+AO628</f>
        <v>4100000</v>
      </c>
      <c r="AB948" s="1545"/>
      <c r="AC948" s="1545"/>
      <c r="AD948" s="1545"/>
      <c r="AE948" s="1545"/>
      <c r="AF948" s="1647"/>
      <c r="AV948" s="2"/>
      <c r="AW948" s="2"/>
      <c r="AX948" s="2"/>
      <c r="AY948" s="2"/>
      <c r="AZ948" s="34"/>
      <c r="BA948" s="34"/>
      <c r="BB948" s="34"/>
      <c r="BC948" s="34"/>
    </row>
    <row r="949" spans="1:55" ht="12.9" customHeight="1">
      <c r="F949" s="47" t="s">
        <v>170</v>
      </c>
      <c r="G949" s="48"/>
      <c r="H949" s="48"/>
      <c r="I949" s="1658" t="s">
        <v>2718</v>
      </c>
      <c r="J949" s="1710"/>
      <c r="K949" s="1710"/>
      <c r="L949" s="1710"/>
      <c r="M949" s="1710"/>
      <c r="N949" s="1710"/>
      <c r="O949" s="1710"/>
      <c r="P949" s="1710"/>
      <c r="Q949" s="1710"/>
      <c r="R949" s="1710"/>
      <c r="S949" s="1710"/>
      <c r="T949" s="1711"/>
      <c r="U949" s="1648" t="s">
        <v>546</v>
      </c>
      <c r="V949" s="1458"/>
      <c r="W949" s="1458"/>
      <c r="X949" s="1458"/>
      <c r="Y949" s="1458"/>
      <c r="Z949" s="1459"/>
      <c r="AA949" s="1646">
        <f>+AO631</f>
        <v>1000000</v>
      </c>
      <c r="AB949" s="1545"/>
      <c r="AC949" s="1545"/>
      <c r="AD949" s="1545"/>
      <c r="AE949" s="1545"/>
      <c r="AF949" s="1647"/>
      <c r="AU949" s="2"/>
      <c r="AZ949" s="34"/>
      <c r="BA949" s="34"/>
      <c r="BB949" s="34"/>
      <c r="BC949" s="34"/>
    </row>
    <row r="950" spans="1:55" ht="12.9" customHeight="1">
      <c r="F950" s="47" t="s">
        <v>170</v>
      </c>
      <c r="G950" s="48"/>
      <c r="H950" s="48"/>
      <c r="I950" s="1658" t="s">
        <v>2717</v>
      </c>
      <c r="J950" s="1710"/>
      <c r="K950" s="1710"/>
      <c r="L950" s="1710"/>
      <c r="M950" s="1710"/>
      <c r="N950" s="1710"/>
      <c r="O950" s="1710"/>
      <c r="P950" s="1710"/>
      <c r="Q950" s="1710"/>
      <c r="R950" s="1710"/>
      <c r="S950" s="1710"/>
      <c r="T950" s="1711"/>
      <c r="U950" s="1648" t="s">
        <v>546</v>
      </c>
      <c r="V950" s="1458"/>
      <c r="W950" s="1458"/>
      <c r="X950" s="1458"/>
      <c r="Y950" s="1458"/>
      <c r="Z950" s="1459"/>
      <c r="AA950" s="1646">
        <f>+AO630</f>
        <v>12331000</v>
      </c>
      <c r="AB950" s="1545"/>
      <c r="AC950" s="1545"/>
      <c r="AD950" s="1545"/>
      <c r="AE950" s="1545"/>
      <c r="AF950" s="1647"/>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12"/>
      <c r="N955" s="1539"/>
      <c r="O955" s="1539"/>
      <c r="P955" s="1539"/>
      <c r="Q955" s="1539"/>
      <c r="R955" s="1539"/>
      <c r="S955" s="1655"/>
      <c r="U955" s="66" t="s">
        <v>11</v>
      </c>
      <c r="V955" s="5"/>
      <c r="W955" s="5"/>
      <c r="X955" s="5"/>
      <c r="Y955" s="5"/>
      <c r="Z955" s="5"/>
      <c r="AA955" s="5"/>
      <c r="AB955" s="5"/>
      <c r="AC955" s="5"/>
      <c r="AD955" s="46"/>
      <c r="AE955" s="1712"/>
      <c r="AF955" s="1539"/>
      <c r="AG955" s="1539"/>
      <c r="AH955" s="1539"/>
      <c r="AI955" s="1539"/>
      <c r="AJ955" s="1539"/>
      <c r="AK955" s="1655"/>
      <c r="AZ955" s="34"/>
      <c r="BA955" s="34"/>
      <c r="BB955" s="34"/>
      <c r="BC955" s="34"/>
    </row>
    <row r="956" spans="1:55" ht="12.9" customHeight="1">
      <c r="C956" s="66" t="s">
        <v>12</v>
      </c>
      <c r="D956" s="5"/>
      <c r="E956" s="5"/>
      <c r="F956" s="5"/>
      <c r="G956" s="5"/>
      <c r="H956" s="5"/>
      <c r="I956" s="5"/>
      <c r="J956" s="5"/>
      <c r="K956" s="5"/>
      <c r="L956" s="46"/>
      <c r="M956" s="1677"/>
      <c r="N956" s="1552"/>
      <c r="O956" s="1552"/>
      <c r="P956" s="1552"/>
      <c r="Q956" s="1552"/>
      <c r="R956" s="1552"/>
      <c r="S956" s="1678"/>
      <c r="U956" s="66" t="s">
        <v>12</v>
      </c>
      <c r="V956" s="5"/>
      <c r="W956" s="5"/>
      <c r="X956" s="5"/>
      <c r="Y956" s="5"/>
      <c r="Z956" s="5"/>
      <c r="AA956" s="5"/>
      <c r="AB956" s="5"/>
      <c r="AC956" s="5"/>
      <c r="AD956" s="46"/>
      <c r="AE956" s="1677"/>
      <c r="AF956" s="1552"/>
      <c r="AG956" s="1552"/>
      <c r="AH956" s="1552"/>
      <c r="AI956" s="1552"/>
      <c r="AJ956" s="1552"/>
      <c r="AK956" s="1678"/>
      <c r="AZ956" s="34"/>
      <c r="BA956" s="34"/>
      <c r="BB956" s="34"/>
      <c r="BC956" s="34"/>
    </row>
    <row r="957" spans="1:55" ht="12.9" customHeight="1">
      <c r="C957" s="66" t="s">
        <v>881</v>
      </c>
      <c r="D957" s="5"/>
      <c r="E957" s="5"/>
      <c r="J957" s="1824" t="s">
        <v>307</v>
      </c>
      <c r="K957" s="1825"/>
      <c r="L957" s="1825"/>
      <c r="M957" s="1825"/>
      <c r="N957" s="1825"/>
      <c r="O957" s="1825"/>
      <c r="P957" s="1825"/>
      <c r="Q957" s="1825"/>
      <c r="R957" s="1825"/>
      <c r="S957" s="1826"/>
      <c r="U957" s="66" t="s">
        <v>881</v>
      </c>
      <c r="V957" s="5"/>
      <c r="W957" s="5"/>
      <c r="AB957" s="1824" t="s">
        <v>307</v>
      </c>
      <c r="AC957" s="1825"/>
      <c r="AD957" s="1825"/>
      <c r="AE957" s="1825"/>
      <c r="AF957" s="1825"/>
      <c r="AG957" s="1825"/>
      <c r="AH957" s="1825"/>
      <c r="AI957" s="1825"/>
      <c r="AJ957" s="1825"/>
      <c r="AK957" s="1826"/>
      <c r="AZ957" s="34"/>
      <c r="BA957" s="34"/>
      <c r="BB957" s="34"/>
      <c r="BC957" s="34"/>
    </row>
    <row r="958" spans="1:55" ht="12.9" customHeight="1">
      <c r="C958" s="66" t="s">
        <v>13</v>
      </c>
      <c r="D958" s="5"/>
      <c r="E958" s="5"/>
      <c r="F958" s="5"/>
      <c r="G958" s="5"/>
      <c r="H958" s="5"/>
      <c r="I958" s="5"/>
      <c r="J958" s="5"/>
      <c r="K958" s="5"/>
      <c r="L958" s="46"/>
      <c r="M958" s="1830"/>
      <c r="N958" s="1731"/>
      <c r="O958" s="1731"/>
      <c r="P958" s="1731"/>
      <c r="Q958" s="1731"/>
      <c r="R958" s="1731"/>
      <c r="S958" s="1732"/>
      <c r="U958" s="66" t="s">
        <v>13</v>
      </c>
      <c r="V958" s="5"/>
      <c r="W958" s="5"/>
      <c r="X958" s="5"/>
      <c r="Y958" s="5"/>
      <c r="Z958" s="5"/>
      <c r="AA958" s="5"/>
      <c r="AB958" s="5"/>
      <c r="AC958" s="5"/>
      <c r="AD958" s="46"/>
      <c r="AE958" s="1730"/>
      <c r="AF958" s="1731"/>
      <c r="AG958" s="1731"/>
      <c r="AH958" s="1731"/>
      <c r="AI958" s="1731"/>
      <c r="AJ958" s="1731"/>
      <c r="AK958" s="1732"/>
      <c r="AZ958" s="34"/>
      <c r="BA958" s="34"/>
      <c r="BB958" s="34"/>
      <c r="BC958" s="34"/>
    </row>
    <row r="959" spans="1:55" ht="12.9" customHeight="1">
      <c r="C959" s="66" t="s">
        <v>14</v>
      </c>
      <c r="D959" s="5"/>
      <c r="E959" s="5"/>
      <c r="F959" s="5"/>
      <c r="G959" s="5"/>
      <c r="H959" s="5"/>
      <c r="I959" s="5"/>
      <c r="J959" s="5"/>
      <c r="K959" s="5"/>
      <c r="L959" s="46"/>
      <c r="M959" s="1633"/>
      <c r="N959" s="1634"/>
      <c r="O959" s="1634"/>
      <c r="P959" s="1634"/>
      <c r="Q959" s="1634"/>
      <c r="R959" s="1634"/>
      <c r="S959" s="1635"/>
      <c r="U959" s="66" t="s">
        <v>14</v>
      </c>
      <c r="V959" s="5"/>
      <c r="W959" s="5"/>
      <c r="X959" s="5"/>
      <c r="Y959" s="5"/>
      <c r="Z959" s="5"/>
      <c r="AA959" s="5"/>
      <c r="AB959" s="5"/>
      <c r="AC959" s="5"/>
      <c r="AD959" s="46"/>
      <c r="AE959" s="1633"/>
      <c r="AF959" s="1634"/>
      <c r="AG959" s="1634"/>
      <c r="AH959" s="1634"/>
      <c r="AI959" s="1634"/>
      <c r="AJ959" s="1634"/>
      <c r="AK959" s="1635"/>
      <c r="AV959" s="2"/>
      <c r="AW959" s="2"/>
      <c r="AX959" s="2"/>
      <c r="AY959" s="2"/>
      <c r="AZ959" s="34"/>
      <c r="BA959" s="34"/>
      <c r="BB959" s="34"/>
      <c r="BC959" s="34"/>
    </row>
    <row r="960" spans="1:55" ht="12.9" customHeight="1">
      <c r="C960" s="66" t="s">
        <v>15</v>
      </c>
      <c r="D960" s="5"/>
      <c r="E960" s="5"/>
      <c r="F960" s="5"/>
      <c r="G960" s="5"/>
      <c r="H960" s="5"/>
      <c r="I960" s="5"/>
      <c r="J960" s="5"/>
      <c r="K960" s="5"/>
      <c r="L960" s="46"/>
      <c r="M960" s="1646"/>
      <c r="N960" s="1545"/>
      <c r="O960" s="1545"/>
      <c r="P960" s="1545"/>
      <c r="Q960" s="1545"/>
      <c r="R960" s="1545"/>
      <c r="S960" s="1647"/>
      <c r="U960" s="66" t="s">
        <v>15</v>
      </c>
      <c r="V960" s="5"/>
      <c r="W960" s="5"/>
      <c r="X960" s="5"/>
      <c r="Y960" s="5"/>
      <c r="Z960" s="5"/>
      <c r="AA960" s="5"/>
      <c r="AB960" s="5"/>
      <c r="AC960" s="5"/>
      <c r="AD960" s="46"/>
      <c r="AE960" s="1646"/>
      <c r="AF960" s="1545"/>
      <c r="AG960" s="1545"/>
      <c r="AH960" s="1545"/>
      <c r="AI960" s="1545"/>
      <c r="AJ960" s="1545"/>
      <c r="AK960" s="1647"/>
      <c r="AV960" s="2"/>
      <c r="AW960" s="2"/>
      <c r="AX960" s="2"/>
      <c r="AY960" s="2"/>
      <c r="AZ960" s="34"/>
      <c r="BA960" s="34"/>
      <c r="BB960" s="34"/>
      <c r="BC960" s="34"/>
    </row>
    <row r="961" spans="1:64" ht="12.9" customHeight="1">
      <c r="C961" s="66" t="s">
        <v>16</v>
      </c>
      <c r="D961" s="5"/>
      <c r="E961" s="5"/>
      <c r="F961" s="5"/>
      <c r="G961" s="5"/>
      <c r="H961" s="5"/>
      <c r="I961" s="5"/>
      <c r="J961" s="5"/>
      <c r="K961" s="5"/>
      <c r="L961" s="46"/>
      <c r="M961" s="1646"/>
      <c r="N961" s="1545"/>
      <c r="O961" s="1545"/>
      <c r="P961" s="1545"/>
      <c r="Q961" s="1545"/>
      <c r="R961" s="1545"/>
      <c r="S961" s="1647"/>
      <c r="U961" s="66" t="s">
        <v>16</v>
      </c>
      <c r="V961" s="5"/>
      <c r="W961" s="5"/>
      <c r="X961" s="5"/>
      <c r="Y961" s="5"/>
      <c r="Z961" s="5"/>
      <c r="AA961" s="5"/>
      <c r="AB961" s="5"/>
      <c r="AC961" s="5"/>
      <c r="AD961" s="46"/>
      <c r="AE961" s="1646"/>
      <c r="AF961" s="1545"/>
      <c r="AG961" s="1545"/>
      <c r="AH961" s="1545"/>
      <c r="AI961" s="1545"/>
      <c r="AJ961" s="1545"/>
      <c r="AK961" s="1647"/>
      <c r="AV961" s="2"/>
      <c r="AW961" s="2"/>
      <c r="AX961" s="2"/>
      <c r="AY961" s="2"/>
      <c r="AZ961" s="34"/>
      <c r="BB961" s="34"/>
      <c r="BC961" s="34"/>
    </row>
    <row r="962" spans="1:64" ht="12.9" customHeight="1">
      <c r="C962" s="121" t="s">
        <v>1662</v>
      </c>
      <c r="D962" s="5"/>
      <c r="E962" s="5"/>
      <c r="F962" s="5"/>
      <c r="G962" s="5"/>
      <c r="H962" s="5"/>
      <c r="I962" s="5"/>
      <c r="J962" s="5"/>
      <c r="K962" s="5"/>
      <c r="L962" s="46"/>
      <c r="M962" s="1791"/>
      <c r="N962" s="1792"/>
      <c r="O962" s="1792"/>
      <c r="P962" s="1792"/>
      <c r="Q962" s="1792"/>
      <c r="R962" s="1792"/>
      <c r="S962" s="1793"/>
      <c r="U962" s="121" t="s">
        <v>1662</v>
      </c>
      <c r="V962" s="5"/>
      <c r="W962" s="5"/>
      <c r="X962" s="5"/>
      <c r="Y962" s="5"/>
      <c r="Z962" s="5"/>
      <c r="AA962" s="5"/>
      <c r="AB962" s="5"/>
      <c r="AC962" s="5"/>
      <c r="AD962" s="46"/>
      <c r="AE962" s="1791"/>
      <c r="AF962" s="1792"/>
      <c r="AG962" s="1792"/>
      <c r="AH962" s="1792"/>
      <c r="AI962" s="1792"/>
      <c r="AJ962" s="1792"/>
      <c r="AK962" s="1793"/>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719"/>
      <c r="N967" s="1720"/>
      <c r="O967" s="1720"/>
      <c r="P967" s="1720"/>
      <c r="Q967" s="1720"/>
      <c r="R967" s="1720"/>
      <c r="S967" s="1721"/>
      <c r="T967" s="66" t="s">
        <v>791</v>
      </c>
      <c r="U967" s="5"/>
      <c r="V967" s="5"/>
      <c r="W967" s="5"/>
      <c r="X967" s="5"/>
      <c r="Y967" s="5"/>
      <c r="Z967" s="46"/>
      <c r="AA967" s="1719"/>
      <c r="AB967" s="1720"/>
      <c r="AC967" s="1720"/>
      <c r="AD967" s="1720"/>
      <c r="AE967" s="1720"/>
      <c r="AF967" s="1720"/>
      <c r="AG967" s="172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719"/>
      <c r="N968" s="1720"/>
      <c r="O968" s="1720"/>
      <c r="P968" s="1720"/>
      <c r="Q968" s="1720"/>
      <c r="R968" s="1720"/>
      <c r="S968" s="1721"/>
      <c r="T968" s="66" t="s">
        <v>790</v>
      </c>
      <c r="U968" s="5"/>
      <c r="V968" s="5"/>
      <c r="W968" s="5"/>
      <c r="X968" s="5"/>
      <c r="Y968" s="5"/>
      <c r="Z968" s="46"/>
      <c r="AA968" s="1719"/>
      <c r="AB968" s="1720"/>
      <c r="AC968" s="1720"/>
      <c r="AD968" s="1720"/>
      <c r="AE968" s="1720"/>
      <c r="AF968" s="1720"/>
      <c r="AG968" s="17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22" t="s">
        <v>592</v>
      </c>
      <c r="N969" s="1723"/>
      <c r="O969" s="1723"/>
      <c r="P969" s="1723"/>
      <c r="Q969" s="1723"/>
      <c r="R969" s="1723"/>
      <c r="S969" s="1724"/>
      <c r="T969" s="45" t="s">
        <v>337</v>
      </c>
      <c r="U969" s="5"/>
      <c r="V969" s="5"/>
      <c r="W969" s="5"/>
      <c r="X969" s="5"/>
      <c r="Y969" s="5"/>
      <c r="Z969" s="46"/>
      <c r="AA969" s="1719"/>
      <c r="AB969" s="1720"/>
      <c r="AC969" s="1720"/>
      <c r="AD969" s="1720"/>
      <c r="AE969" s="1720"/>
      <c r="AF969" s="1720"/>
      <c r="AG969" s="17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719"/>
      <c r="N970" s="1720"/>
      <c r="O970" s="1720"/>
      <c r="P970" s="1720"/>
      <c r="Q970" s="1720"/>
      <c r="R970" s="1720"/>
      <c r="S970" s="1721"/>
      <c r="T970" s="45" t="s">
        <v>338</v>
      </c>
      <c r="U970" s="5"/>
      <c r="V970" s="5"/>
      <c r="W970" s="5"/>
      <c r="X970" s="5"/>
      <c r="Y970" s="5"/>
      <c r="Z970" s="46"/>
      <c r="AA970" s="1719"/>
      <c r="AB970" s="1720"/>
      <c r="AC970" s="1720"/>
      <c r="AD970" s="1720"/>
      <c r="AE970" s="1720"/>
      <c r="AF970" s="1720"/>
      <c r="AG970" s="17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719"/>
      <c r="N971" s="1720"/>
      <c r="O971" s="1720"/>
      <c r="P971" s="1720"/>
      <c r="Q971" s="1720"/>
      <c r="R971" s="1720"/>
      <c r="S971" s="1721"/>
      <c r="T971" s="45" t="s">
        <v>376</v>
      </c>
      <c r="U971" s="5"/>
      <c r="V971" s="5"/>
      <c r="W971" s="5"/>
      <c r="X971" s="5"/>
      <c r="Y971" s="5"/>
      <c r="Z971" s="46"/>
      <c r="AA971" s="1719"/>
      <c r="AB971" s="1720"/>
      <c r="AC971" s="1720"/>
      <c r="AD971" s="1720"/>
      <c r="AE971" s="1720"/>
      <c r="AF971" s="1720"/>
      <c r="AG971" s="172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24" t="s">
        <v>307</v>
      </c>
      <c r="N972" s="1825"/>
      <c r="O972" s="1825"/>
      <c r="P972" s="1825"/>
      <c r="Q972" s="1825"/>
      <c r="R972" s="1825"/>
      <c r="S972" s="1826"/>
      <c r="T972" s="1778"/>
      <c r="U972" s="1779"/>
      <c r="V972" s="1779"/>
      <c r="W972" s="1779"/>
      <c r="X972" s="1779"/>
      <c r="Y972" s="1779"/>
      <c r="Z972" s="1780"/>
      <c r="AA972" s="1719"/>
      <c r="AB972" s="1720"/>
      <c r="AC972" s="1720"/>
      <c r="AD972" s="1720"/>
      <c r="AE972" s="1720"/>
      <c r="AF972" s="1720"/>
      <c r="AG972" s="17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719"/>
      <c r="N973" s="1720"/>
      <c r="O973" s="1720"/>
      <c r="P973" s="1720"/>
      <c r="Q973" s="1720"/>
      <c r="R973" s="1720"/>
      <c r="S973" s="1721"/>
      <c r="T973" s="1778"/>
      <c r="U973" s="1779"/>
      <c r="V973" s="1779"/>
      <c r="W973" s="1779"/>
      <c r="X973" s="1779"/>
      <c r="Y973" s="1779"/>
      <c r="Z973" s="1780"/>
      <c r="AA973" s="1719"/>
      <c r="AB973" s="1720"/>
      <c r="AC973" s="1720"/>
      <c r="AD973" s="1720"/>
      <c r="AE973" s="1720"/>
      <c r="AF973" s="1720"/>
      <c r="AG973" s="172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409" t="s">
        <v>670</v>
      </c>
      <c r="P974" s="1411"/>
      <c r="Q974" s="92"/>
      <c r="R974" s="92"/>
      <c r="S974" s="93"/>
      <c r="T974" s="41" t="s">
        <v>170</v>
      </c>
      <c r="U974" s="42"/>
      <c r="V974" s="42"/>
      <c r="W974" s="1827" t="s">
        <v>334</v>
      </c>
      <c r="X974" s="1828"/>
      <c r="Y974" s="1828"/>
      <c r="Z974" s="1828"/>
      <c r="AA974" s="1828"/>
      <c r="AB974" s="1828"/>
      <c r="AC974" s="1828"/>
      <c r="AD974" s="1828"/>
      <c r="AE974" s="1828"/>
      <c r="AF974" s="1828"/>
      <c r="AG974" s="1829"/>
      <c r="AU974" s="68"/>
      <c r="AV974" s="95"/>
      <c r="AW974" s="95"/>
      <c r="AX974" s="95"/>
      <c r="AY974" s="95"/>
      <c r="AZ974" s="34"/>
      <c r="BB974" s="34"/>
      <c r="BC974" s="34"/>
      <c r="BD974" s="34"/>
      <c r="BE974" s="34"/>
      <c r="BF974" s="34"/>
      <c r="BG974" s="34"/>
      <c r="BH974" s="34"/>
      <c r="BI974" s="34"/>
      <c r="BJ974" s="34"/>
      <c r="BK974" s="34"/>
      <c r="BL974" s="34"/>
    </row>
    <row r="975" spans="1:64" ht="12.9" customHeight="1">
      <c r="F975" s="1628" t="s">
        <v>33</v>
      </c>
      <c r="G975" s="1336"/>
      <c r="H975" s="1336"/>
      <c r="I975" s="1336"/>
      <c r="J975" s="1336"/>
      <c r="K975" s="1336"/>
      <c r="L975" s="1336"/>
      <c r="M975" s="1719"/>
      <c r="N975" s="1720"/>
      <c r="O975" s="1720"/>
      <c r="P975" s="1720"/>
      <c r="Q975" s="1720"/>
      <c r="R975" s="1720"/>
      <c r="S975" s="1721"/>
      <c r="T975" s="47"/>
      <c r="U975" s="48"/>
      <c r="V975" s="48"/>
      <c r="W975" s="48"/>
      <c r="X975" s="48"/>
      <c r="Y975" s="48"/>
      <c r="Z975" s="124" t="s">
        <v>134</v>
      </c>
      <c r="AA975" s="1775"/>
      <c r="AB975" s="1776"/>
      <c r="AC975" s="1776"/>
      <c r="AD975" s="1776"/>
      <c r="AE975" s="1776"/>
      <c r="AF975" s="1776"/>
      <c r="AG975" s="1777"/>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43"/>
      <c r="BH976" s="1643"/>
      <c r="BI976" s="1643"/>
      <c r="BJ976" s="1643"/>
      <c r="BK976" s="1643"/>
      <c r="BL976" s="1643"/>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54" t="s">
        <v>549</v>
      </c>
      <c r="B979" s="1554"/>
      <c r="C979" s="1554"/>
      <c r="D979" s="1554"/>
      <c r="E979" s="1554"/>
      <c r="F979" s="1554"/>
      <c r="G979" s="1554"/>
      <c r="H979" s="1554"/>
      <c r="I979" s="1554"/>
      <c r="J979" s="1554"/>
      <c r="K979" s="1554"/>
      <c r="L979" s="1554"/>
      <c r="M979" s="1554"/>
      <c r="N979" s="1554"/>
      <c r="O979" s="1554"/>
      <c r="P979" s="1554"/>
      <c r="Q979" s="1554"/>
      <c r="R979" s="1554"/>
      <c r="S979" s="1554"/>
      <c r="T979" s="1554"/>
      <c r="U979" s="1554"/>
      <c r="V979" s="1554"/>
      <c r="W979" s="1554"/>
      <c r="X979" s="1554"/>
      <c r="Y979" s="1554"/>
      <c r="Z979" s="1554"/>
      <c r="AA979" s="1554"/>
      <c r="AB979" s="1554"/>
      <c r="AC979" s="1554"/>
      <c r="AD979" s="1554"/>
      <c r="AE979" s="1554"/>
      <c r="AF979" s="1554"/>
      <c r="AG979" s="1554"/>
      <c r="AH979" s="1554"/>
      <c r="AI979" s="1554"/>
      <c r="AJ979" s="1554"/>
      <c r="AK979" s="1554"/>
      <c r="AL979" s="1554"/>
      <c r="AM979" s="1554"/>
      <c r="AN979" s="1554"/>
      <c r="AO979" s="1554"/>
      <c r="AP979" s="1554"/>
      <c r="AQ979" s="1554"/>
      <c r="AR979" s="1554"/>
      <c r="AS979" s="1554"/>
      <c r="AT979" s="1554"/>
      <c r="AU979" s="68"/>
      <c r="AV979" s="68"/>
      <c r="AW979" s="68"/>
      <c r="AX979" s="68"/>
      <c r="AY979" s="68"/>
      <c r="AZ979" s="14"/>
      <c r="BA979" s="14"/>
      <c r="BB979" s="912"/>
      <c r="BC979" s="912"/>
    </row>
    <row r="980" spans="1:64" ht="12.9" customHeight="1">
      <c r="A980" s="1554"/>
      <c r="B980" s="1554"/>
      <c r="C980" s="1554"/>
      <c r="D980" s="1554"/>
      <c r="E980" s="1554"/>
      <c r="F980" s="1554"/>
      <c r="G980" s="1554"/>
      <c r="H980" s="1554"/>
      <c r="I980" s="1554"/>
      <c r="J980" s="1554"/>
      <c r="K980" s="1554"/>
      <c r="L980" s="1554"/>
      <c r="M980" s="1554"/>
      <c r="N980" s="1554"/>
      <c r="O980" s="1554"/>
      <c r="P980" s="1554"/>
      <c r="Q980" s="1554"/>
      <c r="R980" s="1554"/>
      <c r="S980" s="1554"/>
      <c r="T980" s="1554"/>
      <c r="U980" s="1554"/>
      <c r="V980" s="1554"/>
      <c r="W980" s="1554"/>
      <c r="X980" s="1554"/>
      <c r="Y980" s="1554"/>
      <c r="Z980" s="1554"/>
      <c r="AA980" s="1554"/>
      <c r="AB980" s="1554"/>
      <c r="AC980" s="1554"/>
      <c r="AD980" s="1554"/>
      <c r="AE980" s="1554"/>
      <c r="AF980" s="1554"/>
      <c r="AG980" s="1554"/>
      <c r="AH980" s="1554"/>
      <c r="AI980" s="1554"/>
      <c r="AJ980" s="1554"/>
      <c r="AK980" s="1554"/>
      <c r="AL980" s="1554"/>
      <c r="AM980" s="1554"/>
      <c r="AN980" s="1554"/>
      <c r="AO980" s="1554"/>
      <c r="AP980" s="1554"/>
      <c r="AQ980" s="1554"/>
      <c r="AR980" s="1554"/>
      <c r="AS980" s="1554"/>
      <c r="AT980" s="1554"/>
      <c r="AU980" s="68"/>
      <c r="AV980" s="68"/>
      <c r="AW980" s="68"/>
      <c r="AX980" s="68"/>
      <c r="AY980" s="68"/>
      <c r="AZ980" s="30"/>
      <c r="BA980" s="14"/>
      <c r="BB980" s="14"/>
      <c r="BC980" s="14"/>
    </row>
    <row r="981" spans="1:64" ht="12.9" customHeight="1">
      <c r="A981" s="1554"/>
      <c r="B981" s="1554"/>
      <c r="C981" s="1554"/>
      <c r="D981" s="1554"/>
      <c r="E981" s="1554"/>
      <c r="F981" s="1554"/>
      <c r="G981" s="1554"/>
      <c r="H981" s="1554"/>
      <c r="I981" s="1554"/>
      <c r="J981" s="1554"/>
      <c r="K981" s="1554"/>
      <c r="L981" s="1554"/>
      <c r="M981" s="1554"/>
      <c r="N981" s="1554"/>
      <c r="O981" s="1554"/>
      <c r="P981" s="1554"/>
      <c r="Q981" s="1554"/>
      <c r="R981" s="1554"/>
      <c r="S981" s="1554"/>
      <c r="T981" s="1554"/>
      <c r="U981" s="1554"/>
      <c r="V981" s="1554"/>
      <c r="W981" s="1554"/>
      <c r="X981" s="1554"/>
      <c r="Y981" s="1554"/>
      <c r="Z981" s="1554"/>
      <c r="AA981" s="1554"/>
      <c r="AB981" s="1554"/>
      <c r="AC981" s="1554"/>
      <c r="AD981" s="1554"/>
      <c r="AE981" s="1554"/>
      <c r="AF981" s="1554"/>
      <c r="AG981" s="1554"/>
      <c r="AH981" s="1554"/>
      <c r="AI981" s="1554"/>
      <c r="AJ981" s="1554"/>
      <c r="AK981" s="1554"/>
      <c r="AL981" s="1554"/>
      <c r="AM981" s="1554"/>
      <c r="AN981" s="1554"/>
      <c r="AO981" s="1554"/>
      <c r="AP981" s="1554"/>
      <c r="AQ981" s="1554"/>
      <c r="AR981" s="1554"/>
      <c r="AS981" s="1554"/>
      <c r="AT981" s="155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4" t="s">
        <v>639</v>
      </c>
      <c r="E985" s="1795"/>
      <c r="F985" s="1795"/>
      <c r="G985" s="1795"/>
      <c r="H985" s="1795"/>
      <c r="I985" s="1795"/>
      <c r="J985" s="1795"/>
      <c r="K985" s="1795"/>
      <c r="L985" s="1795"/>
      <c r="M985" s="1795"/>
      <c r="N985" s="1795"/>
      <c r="O985" s="1795"/>
      <c r="P985" s="1795"/>
      <c r="Q985" s="1796"/>
      <c r="R985" s="1794" t="s">
        <v>640</v>
      </c>
      <c r="S985" s="1795"/>
      <c r="T985" s="1795"/>
      <c r="U985" s="1795"/>
      <c r="V985" s="1795"/>
      <c r="W985" s="1795"/>
      <c r="X985" s="1795"/>
      <c r="Y985" s="1795"/>
      <c r="Z985" s="1795"/>
      <c r="AA985" s="1796"/>
      <c r="AB985" s="1794" t="s">
        <v>641</v>
      </c>
      <c r="AC985" s="1795"/>
      <c r="AD985" s="1795"/>
      <c r="AE985" s="1795"/>
      <c r="AF985" s="1795"/>
      <c r="AG985" s="1795"/>
      <c r="AH985" s="1795"/>
      <c r="AI985" s="1796"/>
      <c r="AJ985" s="1794" t="s">
        <v>642</v>
      </c>
      <c r="AK985" s="1795"/>
      <c r="AL985" s="1795"/>
      <c r="AM985" s="1795"/>
      <c r="AN985" s="1795"/>
      <c r="AO985" s="1795"/>
      <c r="AP985" s="1795"/>
      <c r="AQ985" s="1796"/>
      <c r="AR985" s="68"/>
      <c r="AS985" s="68"/>
      <c r="AT985" s="68"/>
      <c r="AU985" s="68"/>
      <c r="AV985" s="68"/>
      <c r="AW985" s="68"/>
      <c r="AX985" s="68"/>
      <c r="AY985" s="68"/>
      <c r="AZ985" s="30"/>
      <c r="BB985" s="14"/>
      <c r="BC985" s="14"/>
    </row>
    <row r="986" spans="1:64" ht="12.9" customHeight="1">
      <c r="A986" s="14"/>
      <c r="B986" s="73"/>
      <c r="C986" s="929"/>
      <c r="D986" s="1797" t="s">
        <v>634</v>
      </c>
      <c r="E986" s="1798"/>
      <c r="F986" s="1798"/>
      <c r="G986" s="1798"/>
      <c r="H986" s="1798"/>
      <c r="I986" s="1798"/>
      <c r="J986" s="1798"/>
      <c r="K986" s="1798"/>
      <c r="L986" s="1798"/>
      <c r="M986" s="1798"/>
      <c r="N986" s="1798"/>
      <c r="O986" s="1798"/>
      <c r="P986" s="1798"/>
      <c r="Q986" s="1799"/>
      <c r="R986" s="1809">
        <f>IF(ISNA(IF($CU$122="4%",(INDEX($CS$160:$CW$217,MATCH($DG$122,$CR$160:$CR$217,0),MATCH(D986,$CS$159:$CW$159,0))),(INDEX($CZ$160:$DD$217,MATCH($DG$122,$CY$160:$CY$217,0),MATCH(D986,$CZ$159:$DD$159,0))))),0,IF($CU$122="4%",(INDEX($CS$160:$CW$217,MATCH($DG$122,$CR$160:$CR$217,0),MATCH(D986,$CS$159:$CW$159,0))),(INDEX($CZ$160:$DD$217,MATCH($DG$122,$CY$160:$CY$217,0),MATCH(D986,$CZ$159:$DD$159,0)))))</f>
        <v>352022</v>
      </c>
      <c r="S986" s="1809"/>
      <c r="T986" s="1809"/>
      <c r="U986" s="1809"/>
      <c r="V986" s="1809"/>
      <c r="W986" s="1809"/>
      <c r="X986" s="1809"/>
      <c r="Y986" s="1809"/>
      <c r="Z986" s="1809"/>
      <c r="AA986" s="1809"/>
      <c r="AB986" s="1821">
        <f>CP802</f>
        <v>3</v>
      </c>
      <c r="AC986" s="1822"/>
      <c r="AD986" s="1822"/>
      <c r="AE986" s="1822"/>
      <c r="AF986" s="1822"/>
      <c r="AG986" s="1822"/>
      <c r="AH986" s="1822"/>
      <c r="AI986" s="1823"/>
      <c r="AJ986" s="1738">
        <f>IF(ISERROR((R986*AB986)),0,(R986*AB986))</f>
        <v>1056066</v>
      </c>
      <c r="AK986" s="1739"/>
      <c r="AL986" s="1739"/>
      <c r="AM986" s="1739"/>
      <c r="AN986" s="1739"/>
      <c r="AO986" s="1739"/>
      <c r="AP986" s="1739"/>
      <c r="AQ986" s="1740"/>
      <c r="AR986" s="68"/>
      <c r="AS986" s="68"/>
      <c r="AT986" s="68"/>
      <c r="AU986" s="68"/>
      <c r="AV986" s="68"/>
      <c r="AW986" s="68"/>
      <c r="AX986" s="68"/>
      <c r="AY986" s="68"/>
      <c r="AZ986" s="30"/>
      <c r="BB986" s="14"/>
      <c r="BC986" s="14"/>
    </row>
    <row r="987" spans="1:64" ht="12.9" customHeight="1">
      <c r="A987" s="14"/>
      <c r="B987" s="73"/>
      <c r="C987" s="83"/>
      <c r="D987" s="1797" t="s">
        <v>325</v>
      </c>
      <c r="E987" s="1798"/>
      <c r="F987" s="1798"/>
      <c r="G987" s="1798"/>
      <c r="H987" s="1798"/>
      <c r="I987" s="1798"/>
      <c r="J987" s="1798"/>
      <c r="K987" s="1798"/>
      <c r="L987" s="1798"/>
      <c r="M987" s="1798"/>
      <c r="N987" s="1798"/>
      <c r="O987" s="1798"/>
      <c r="P987" s="1798"/>
      <c r="Q987" s="1799"/>
      <c r="R987" s="1809">
        <f>IF(ISNA(IF($CU$122="4%",(INDEX($CS$160:$CW$217,MATCH($DG$122,$CR$160:$CR$217,0),MATCH(D987,$CS$159:$CW$159,0))),(INDEX($CZ$160:$DD$217,MATCH($DG$122,$CY$160:$CY$217,0),MATCH(D987,$CZ$159:$DD$159,0))))),0,IF($CU$122="4%",(INDEX($CS$160:$CW$217,MATCH($DG$122,$CR$160:$CR$217,0),MATCH(D987,$CS$159:$CW$159,0))),(INDEX($CZ$160:$DD$217,MATCH($DG$122,$CY$160:$CY$217,0),MATCH(D987,$CZ$159:$DD$159,0)))))</f>
        <v>405878</v>
      </c>
      <c r="S987" s="1809"/>
      <c r="T987" s="1809"/>
      <c r="U987" s="1809"/>
      <c r="V987" s="1809"/>
      <c r="W987" s="1809"/>
      <c r="X987" s="1809"/>
      <c r="Y987" s="1809"/>
      <c r="Z987" s="1809"/>
      <c r="AA987" s="1809"/>
      <c r="AB987" s="1821">
        <f>CU802</f>
        <v>18</v>
      </c>
      <c r="AC987" s="1822"/>
      <c r="AD987" s="1822"/>
      <c r="AE987" s="1822"/>
      <c r="AF987" s="1822"/>
      <c r="AG987" s="1822"/>
      <c r="AH987" s="1822"/>
      <c r="AI987" s="1823"/>
      <c r="AJ987" s="1738">
        <f>IF(ISERROR((R987*AB987)),0,(R987*AB987))</f>
        <v>7305804</v>
      </c>
      <c r="AK987" s="1739"/>
      <c r="AL987" s="1739"/>
      <c r="AM987" s="1739"/>
      <c r="AN987" s="1739"/>
      <c r="AO987" s="1739"/>
      <c r="AP987" s="1739"/>
      <c r="AQ987" s="1740"/>
      <c r="AR987" s="68"/>
      <c r="AS987" s="68"/>
      <c r="AT987" s="68"/>
      <c r="AU987" s="68"/>
      <c r="AV987" s="68"/>
      <c r="AW987" s="68"/>
      <c r="AX987" s="68"/>
      <c r="AY987" s="68"/>
      <c r="AZ987" s="30"/>
      <c r="BB987" s="14"/>
      <c r="BC987" s="14"/>
    </row>
    <row r="988" spans="1:64" ht="12.9" customHeight="1">
      <c r="A988" s="14"/>
      <c r="B988" s="73"/>
      <c r="C988" s="83"/>
      <c r="D988" s="1797" t="s">
        <v>163</v>
      </c>
      <c r="E988" s="1798"/>
      <c r="F988" s="1798"/>
      <c r="G988" s="1798"/>
      <c r="H988" s="1798"/>
      <c r="I988" s="1798"/>
      <c r="J988" s="1798"/>
      <c r="K988" s="1798"/>
      <c r="L988" s="1798"/>
      <c r="M988" s="1798"/>
      <c r="N988" s="1798"/>
      <c r="O988" s="1798"/>
      <c r="P988" s="1798"/>
      <c r="Q988" s="1799"/>
      <c r="R988" s="1809">
        <f>IF(ISNA(IF($CU$122="4%",(INDEX($CS$160:$CW$217,MATCH($DG$122,$CR$160:$CR$217,0),MATCH(D988,$CS$159:$CW$159,0))),(INDEX($CZ$160:$DD$217,MATCH($DG$122,$CY$160:$CY$217,0),MATCH(D988,$CZ$159:$DD$159,0))))),0,IF($CU$122="4%",(INDEX($CS$160:$CW$217,MATCH($DG$122,$CR$160:$CR$217,0),MATCH(D988,$CS$159:$CW$159,0))),(INDEX($CZ$160:$DD$217,MATCH($DG$122,$CY$160:$CY$217,0),MATCH(D988,$CZ$159:$DD$159,0)))))</f>
        <v>489600</v>
      </c>
      <c r="S988" s="1809"/>
      <c r="T988" s="1809"/>
      <c r="U988" s="1809"/>
      <c r="V988" s="1809"/>
      <c r="W988" s="1809"/>
      <c r="X988" s="1809"/>
      <c r="Y988" s="1809"/>
      <c r="Z988" s="1809"/>
      <c r="AA988" s="1809"/>
      <c r="AB988" s="1821">
        <f>CZ802</f>
        <v>13</v>
      </c>
      <c r="AC988" s="1822"/>
      <c r="AD988" s="1822"/>
      <c r="AE988" s="1822"/>
      <c r="AF988" s="1822"/>
      <c r="AG988" s="1822"/>
      <c r="AH988" s="1822"/>
      <c r="AI988" s="1823"/>
      <c r="AJ988" s="1738">
        <f>IF(ISERROR((R988*AB988)),0,(R988*AB988))</f>
        <v>6364800</v>
      </c>
      <c r="AK988" s="1739"/>
      <c r="AL988" s="1739"/>
      <c r="AM988" s="1739"/>
      <c r="AN988" s="1739"/>
      <c r="AO988" s="1739"/>
      <c r="AP988" s="1739"/>
      <c r="AQ988" s="1740"/>
      <c r="AR988" s="68"/>
      <c r="AS988" s="68"/>
      <c r="AT988" s="68"/>
      <c r="AU988" s="68"/>
      <c r="AV988" s="68"/>
      <c r="AW988" s="68"/>
      <c r="AX988" s="68"/>
      <c r="AY988" s="68"/>
      <c r="AZ988" s="30"/>
      <c r="BB988" s="14"/>
      <c r="BC988" s="14"/>
    </row>
    <row r="989" spans="1:64" ht="12.9" customHeight="1">
      <c r="A989" s="14"/>
      <c r="B989" s="73"/>
      <c r="C989" s="83"/>
      <c r="D989" s="1797" t="s">
        <v>164</v>
      </c>
      <c r="E989" s="1798"/>
      <c r="F989" s="1798"/>
      <c r="G989" s="1798"/>
      <c r="H989" s="1798"/>
      <c r="I989" s="1798"/>
      <c r="J989" s="1798"/>
      <c r="K989" s="1798"/>
      <c r="L989" s="1798"/>
      <c r="M989" s="1798"/>
      <c r="N989" s="1798"/>
      <c r="O989" s="1798"/>
      <c r="P989" s="1798"/>
      <c r="Q989" s="1799"/>
      <c r="R989" s="1809">
        <f>IF(ISNA(IF($CU$122="4%",(INDEX($CS$160:$CW$217,MATCH($DG$122,$CR$160:$CR$217,0),MATCH(D989,$CS$159:$CW$159,0))),(INDEX($CZ$160:$DD$217,MATCH($DG$122,$CY$160:$CY$217,0),MATCH(D989,$CZ$159:$DD$159,0))))),0,IF($CU$122="4%",(INDEX($CS$160:$CW$217,MATCH($DG$122,$CR$160:$CR$217,0),MATCH(D989,$CS$159:$CW$159,0))),(INDEX($CZ$160:$DD$217,MATCH($DG$122,$CY$160:$CY$217,0),MATCH(D989,$CZ$159:$DD$159,0)))))</f>
        <v>626688</v>
      </c>
      <c r="S989" s="1809"/>
      <c r="T989" s="1809"/>
      <c r="U989" s="1809"/>
      <c r="V989" s="1809"/>
      <c r="W989" s="1809"/>
      <c r="X989" s="1809"/>
      <c r="Y989" s="1809"/>
      <c r="Z989" s="1809"/>
      <c r="AA989" s="1809"/>
      <c r="AB989" s="1821">
        <f>DE802</f>
        <v>12</v>
      </c>
      <c r="AC989" s="1822"/>
      <c r="AD989" s="1822"/>
      <c r="AE989" s="1822"/>
      <c r="AF989" s="1822"/>
      <c r="AG989" s="1822"/>
      <c r="AH989" s="1822"/>
      <c r="AI989" s="1823"/>
      <c r="AJ989" s="1738">
        <f>IF(ISERROR((R989*AB989)),0,(R989*AB989))</f>
        <v>7520256</v>
      </c>
      <c r="AK989" s="1739"/>
      <c r="AL989" s="1739"/>
      <c r="AM989" s="1739"/>
      <c r="AN989" s="1739"/>
      <c r="AO989" s="1739"/>
      <c r="AP989" s="1739"/>
      <c r="AQ989" s="1740"/>
      <c r="AR989" s="68"/>
      <c r="AS989" s="68"/>
      <c r="AT989" s="68"/>
      <c r="AU989" s="68"/>
      <c r="AV989" s="68"/>
      <c r="AW989" s="68"/>
      <c r="AX989" s="68"/>
      <c r="AY989" s="68"/>
      <c r="AZ989" s="30"/>
      <c r="BA989" s="34"/>
      <c r="BB989" s="14"/>
      <c r="BC989" s="14"/>
    </row>
    <row r="990" spans="1:64" ht="12.9" customHeight="1">
      <c r="A990" s="14"/>
      <c r="B990" s="47"/>
      <c r="C990" s="78"/>
      <c r="D990" s="1797" t="s">
        <v>461</v>
      </c>
      <c r="E990" s="1798"/>
      <c r="F990" s="1798"/>
      <c r="G990" s="1798"/>
      <c r="H990" s="1798"/>
      <c r="I990" s="1798"/>
      <c r="J990" s="1798"/>
      <c r="K990" s="1798"/>
      <c r="L990" s="1798"/>
      <c r="M990" s="1798"/>
      <c r="N990" s="1798"/>
      <c r="O990" s="1798"/>
      <c r="P990" s="1798"/>
      <c r="Q990" s="1799"/>
      <c r="R990" s="1809">
        <f>IF(ISNA(IF($CU$122="4%",(INDEX($CS$160:$CW$217,MATCH($DG$122,$CR$160:$CR$217,0),MATCH(D990,$CS$159:$CW$159,0))),(INDEX($CZ$160:$DD$217,MATCH($DG$122,$CY$160:$CY$217,0),MATCH(D990,$CZ$159:$DD$159,0))))),0,IF($CU$122="4%",(INDEX($CS$160:$CW$217,MATCH($DG$122,$CR$160:$CR$217,0),MATCH(D990,$CS$159:$CW$159,0))),(INDEX($CZ$160:$DD$217,MATCH($DG$122,$CY$160:$CY$217,0),MATCH(D990,$CZ$159:$DD$159,0)))))</f>
        <v>698170</v>
      </c>
      <c r="S990" s="1809"/>
      <c r="T990" s="1809"/>
      <c r="U990" s="1809"/>
      <c r="V990" s="1809"/>
      <c r="W990" s="1809"/>
      <c r="X990" s="1809"/>
      <c r="Y990" s="1809"/>
      <c r="Z990" s="1809"/>
      <c r="AA990" s="1809"/>
      <c r="AB990" s="1821">
        <f>DO802+DJ802</f>
        <v>0</v>
      </c>
      <c r="AC990" s="1822"/>
      <c r="AD990" s="1822"/>
      <c r="AE990" s="1822"/>
      <c r="AF990" s="1822"/>
      <c r="AG990" s="1822"/>
      <c r="AH990" s="1822"/>
      <c r="AI990" s="1823"/>
      <c r="AJ990" s="1738">
        <f>IF(ISERROR((R990*AB990)),0,(R990*AB990))</f>
        <v>0</v>
      </c>
      <c r="AK990" s="1739"/>
      <c r="AL990" s="1739"/>
      <c r="AM990" s="1739"/>
      <c r="AN990" s="1739"/>
      <c r="AO990" s="1739"/>
      <c r="AP990" s="1739"/>
      <c r="AQ990" s="1740"/>
      <c r="AR990" s="68"/>
      <c r="AS990" s="68"/>
      <c r="AT990" s="68"/>
      <c r="AU990" s="68"/>
      <c r="AV990" s="68"/>
      <c r="AW990" s="68"/>
      <c r="AX990" s="68"/>
      <c r="AY990" s="68"/>
      <c r="AZ990" s="30"/>
      <c r="BB990" s="14"/>
      <c r="BC990" s="14"/>
    </row>
    <row r="991" spans="1:64" ht="12.9" customHeight="1">
      <c r="A991" s="14"/>
      <c r="B991" s="1759" t="s">
        <v>792</v>
      </c>
      <c r="C991" s="1760"/>
      <c r="D991" s="1760"/>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1"/>
      <c r="AB991" s="1821">
        <f>SUM(AB986:AI990)</f>
        <v>46</v>
      </c>
      <c r="AC991" s="1822"/>
      <c r="AD991" s="1822"/>
      <c r="AE991" s="1822"/>
      <c r="AF991" s="1822"/>
      <c r="AG991" s="1822"/>
      <c r="AH991" s="1822"/>
      <c r="AI991" s="1823"/>
      <c r="AJ991" s="1738"/>
      <c r="AK991" s="1739"/>
      <c r="AL991" s="1739"/>
      <c r="AM991" s="1739"/>
      <c r="AN991" s="1739"/>
      <c r="AO991" s="1739"/>
      <c r="AP991" s="1739"/>
      <c r="AQ991" s="1740"/>
      <c r="AR991" s="68"/>
      <c r="AS991" s="68"/>
      <c r="AT991" s="68"/>
      <c r="AU991" s="68"/>
      <c r="AV991" s="68"/>
      <c r="AW991" s="68"/>
      <c r="AX991" s="68"/>
      <c r="AY991" s="68"/>
      <c r="AZ991" s="34"/>
      <c r="BA991" s="34"/>
      <c r="BB991" s="14"/>
      <c r="BC991" s="14"/>
    </row>
    <row r="992" spans="1:64" ht="12.9" customHeight="1">
      <c r="A992" s="14"/>
      <c r="B992" s="1806" t="s">
        <v>513</v>
      </c>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7"/>
      <c r="AF992" s="1807"/>
      <c r="AG992" s="1807"/>
      <c r="AH992" s="1807"/>
      <c r="AI992" s="1808"/>
      <c r="AJ992" s="1738">
        <f>SUM(AJ986:AQ990)</f>
        <v>22246926</v>
      </c>
      <c r="AK992" s="1739"/>
      <c r="AL992" s="1739"/>
      <c r="AM992" s="1739"/>
      <c r="AN992" s="1739"/>
      <c r="AO992" s="1739"/>
      <c r="AP992" s="1739"/>
      <c r="AQ992" s="1740"/>
      <c r="AR992" s="68"/>
      <c r="AS992" s="68"/>
      <c r="AT992" s="68"/>
      <c r="AU992" s="68"/>
      <c r="AV992" s="68"/>
      <c r="AW992" s="68"/>
      <c r="AX992" s="68"/>
      <c r="AY992" s="68"/>
      <c r="AZ992" s="34"/>
      <c r="BB992" s="34"/>
      <c r="BC992" s="34"/>
    </row>
    <row r="993" spans="1:55" ht="12.9" customHeight="1">
      <c r="A993" s="14"/>
      <c r="B993" s="1765"/>
      <c r="C993" s="1766"/>
      <c r="D993" s="1766"/>
      <c r="E993" s="1766"/>
      <c r="F993" s="1766"/>
      <c r="G993" s="1766"/>
      <c r="H993" s="1766"/>
      <c r="I993" s="1766"/>
      <c r="J993" s="1766"/>
      <c r="K993" s="1766"/>
      <c r="L993" s="1766"/>
      <c r="M993" s="1766"/>
      <c r="N993" s="1766"/>
      <c r="O993" s="1766"/>
      <c r="P993" s="1766"/>
      <c r="Q993" s="1766"/>
      <c r="R993" s="1766"/>
      <c r="S993" s="1766"/>
      <c r="T993" s="1766"/>
      <c r="U993" s="1766"/>
      <c r="V993" s="1766"/>
      <c r="W993" s="1766"/>
      <c r="X993" s="1766"/>
      <c r="Y993" s="1766"/>
      <c r="Z993" s="1766"/>
      <c r="AA993" s="1766"/>
      <c r="AB993" s="1766"/>
      <c r="AC993" s="1766"/>
      <c r="AD993" s="1766"/>
      <c r="AE993" s="1767"/>
      <c r="AF993" s="1843" t="s">
        <v>667</v>
      </c>
      <c r="AG993" s="1844"/>
      <c r="AH993" s="1844"/>
      <c r="AI993" s="1845"/>
      <c r="AJ993" s="1765"/>
      <c r="AK993" s="1766"/>
      <c r="AL993" s="1766"/>
      <c r="AM993" s="1766"/>
      <c r="AN993" s="1766"/>
      <c r="AO993" s="1766"/>
      <c r="AP993" s="1766"/>
      <c r="AQ993" s="1767"/>
      <c r="AR993" s="68"/>
      <c r="AS993" s="68"/>
      <c r="AT993" s="68"/>
      <c r="AU993" s="68"/>
      <c r="AV993" s="68"/>
      <c r="AW993" s="68"/>
      <c r="AX993" s="68"/>
      <c r="AY993" s="68"/>
      <c r="AZ993" s="34"/>
      <c r="BA993" s="34"/>
      <c r="BB993" s="34"/>
      <c r="BC993" s="34"/>
    </row>
    <row r="994" spans="1:55" ht="12.9" customHeight="1">
      <c r="A994" s="14"/>
      <c r="B994" s="73"/>
      <c r="C994" s="927" t="s">
        <v>669</v>
      </c>
      <c r="D994" s="1756" t="s">
        <v>1221</v>
      </c>
      <c r="E994" s="1757"/>
      <c r="F994" s="1757"/>
      <c r="G994" s="1757"/>
      <c r="H994" s="1757"/>
      <c r="I994" s="1757"/>
      <c r="J994" s="1757"/>
      <c r="K994" s="1757"/>
      <c r="L994" s="1757"/>
      <c r="M994" s="1757"/>
      <c r="N994" s="1757"/>
      <c r="O994" s="1757"/>
      <c r="P994" s="1757"/>
      <c r="Q994" s="1757"/>
      <c r="R994" s="1757"/>
      <c r="S994" s="1757"/>
      <c r="T994" s="1757"/>
      <c r="U994" s="1757"/>
      <c r="V994" s="1757"/>
      <c r="W994" s="1757"/>
      <c r="X994" s="1757"/>
      <c r="Y994" s="1757"/>
      <c r="Z994" s="1757"/>
      <c r="AA994" s="1757"/>
      <c r="AB994" s="1757"/>
      <c r="AC994" s="1757"/>
      <c r="AD994" s="1757"/>
      <c r="AE994" s="1758"/>
      <c r="AF994" s="79"/>
      <c r="AG994" s="1846" t="s">
        <v>546</v>
      </c>
      <c r="AH994" s="1847"/>
      <c r="AI994" s="87"/>
      <c r="AJ994" s="1747">
        <f>ROUND(IF(AND(AG994="yes",D1000&gt;0),AJ992*0.2,0),0)</f>
        <v>4449385</v>
      </c>
      <c r="AK994" s="1748"/>
      <c r="AL994" s="1748"/>
      <c r="AM994" s="1748"/>
      <c r="AN994" s="1748"/>
      <c r="AO994" s="1748"/>
      <c r="AP994" s="1748"/>
      <c r="AQ994" s="1749"/>
      <c r="AR994" s="68"/>
      <c r="AS994" s="68"/>
      <c r="AT994" s="68"/>
      <c r="AU994" s="68"/>
      <c r="AV994" s="68"/>
      <c r="AW994" s="68"/>
      <c r="AX994" s="68"/>
      <c r="AY994" s="68"/>
      <c r="AZ994" s="34"/>
      <c r="BA994" s="34"/>
      <c r="BB994" s="34"/>
      <c r="BC994" s="34"/>
    </row>
    <row r="995" spans="1:55" ht="12.9" customHeight="1">
      <c r="A995" s="14"/>
      <c r="B995" s="257"/>
      <c r="C995" s="256"/>
      <c r="D995" s="1784" t="s">
        <v>2235</v>
      </c>
      <c r="E995" s="1785"/>
      <c r="F995" s="1785"/>
      <c r="G995" s="1785"/>
      <c r="H995" s="1785"/>
      <c r="I995" s="1785"/>
      <c r="J995" s="1785"/>
      <c r="K995" s="1785"/>
      <c r="L995" s="1785"/>
      <c r="M995" s="1785"/>
      <c r="N995" s="1785"/>
      <c r="O995" s="1785"/>
      <c r="P995" s="1785"/>
      <c r="Q995" s="1785"/>
      <c r="R995" s="1785"/>
      <c r="S995" s="1785"/>
      <c r="T995" s="1785"/>
      <c r="U995" s="1785"/>
      <c r="V995" s="1785"/>
      <c r="W995" s="1785"/>
      <c r="X995" s="1785"/>
      <c r="Y995" s="1785"/>
      <c r="Z995" s="1785"/>
      <c r="AA995" s="1785"/>
      <c r="AB995" s="1785"/>
      <c r="AC995" s="1785"/>
      <c r="AD995" s="1785"/>
      <c r="AE995" s="1786"/>
      <c r="AF995" s="73"/>
      <c r="AG995" s="14"/>
      <c r="AH995" s="14"/>
      <c r="AI995" s="83"/>
      <c r="AJ995" s="1750"/>
      <c r="AK995" s="1751"/>
      <c r="AL995" s="1751"/>
      <c r="AM995" s="1751"/>
      <c r="AN995" s="1751"/>
      <c r="AO995" s="1751"/>
      <c r="AP995" s="1751"/>
      <c r="AQ995" s="1752"/>
      <c r="AR995" s="68"/>
      <c r="AS995" s="68"/>
      <c r="AT995" s="68"/>
      <c r="AU995" s="68"/>
      <c r="AV995" s="68"/>
      <c r="AW995" s="68"/>
      <c r="AX995" s="68"/>
      <c r="AY995" s="68"/>
      <c r="AZ995" s="34"/>
      <c r="BA995" s="34"/>
      <c r="BB995" s="34"/>
      <c r="BC995" s="34"/>
    </row>
    <row r="996" spans="1:55" ht="12.9" customHeight="1">
      <c r="A996" s="14"/>
      <c r="B996" s="257"/>
      <c r="C996" s="256"/>
      <c r="D996" s="1784"/>
      <c r="E996" s="1785"/>
      <c r="F996" s="1785"/>
      <c r="G996" s="1785"/>
      <c r="H996" s="1785"/>
      <c r="I996" s="1785"/>
      <c r="J996" s="1785"/>
      <c r="K996" s="1785"/>
      <c r="L996" s="1785"/>
      <c r="M996" s="1785"/>
      <c r="N996" s="1785"/>
      <c r="O996" s="1785"/>
      <c r="P996" s="1785"/>
      <c r="Q996" s="1785"/>
      <c r="R996" s="1785"/>
      <c r="S996" s="1785"/>
      <c r="T996" s="1785"/>
      <c r="U996" s="1785"/>
      <c r="V996" s="1785"/>
      <c r="W996" s="1785"/>
      <c r="X996" s="1785"/>
      <c r="Y996" s="1785"/>
      <c r="Z996" s="1785"/>
      <c r="AA996" s="1785"/>
      <c r="AB996" s="1785"/>
      <c r="AC996" s="1785"/>
      <c r="AD996" s="1785"/>
      <c r="AE996" s="1786"/>
      <c r="AF996" s="73"/>
      <c r="AG996" s="14"/>
      <c r="AH996" s="14"/>
      <c r="AI996" s="83"/>
      <c r="AJ996" s="1750"/>
      <c r="AK996" s="1751"/>
      <c r="AL996" s="1751"/>
      <c r="AM996" s="1751"/>
      <c r="AN996" s="1751"/>
      <c r="AO996" s="1751"/>
      <c r="AP996" s="1751"/>
      <c r="AQ996" s="1752"/>
      <c r="AR996" s="68"/>
      <c r="AS996" s="68"/>
      <c r="AT996" s="68"/>
      <c r="AU996" s="68"/>
      <c r="AV996" s="68"/>
      <c r="AW996" s="68"/>
      <c r="AX996" s="68"/>
      <c r="AY996" s="68"/>
      <c r="AZ996" s="34"/>
      <c r="BA996" s="34"/>
      <c r="BB996" s="34"/>
      <c r="BC996" s="34"/>
    </row>
    <row r="997" spans="1:55" ht="12.9" customHeight="1">
      <c r="A997" s="14"/>
      <c r="B997" s="257"/>
      <c r="C997" s="256"/>
      <c r="D997" s="1784"/>
      <c r="E997" s="1785"/>
      <c r="F997" s="1785"/>
      <c r="G997" s="1785"/>
      <c r="H997" s="1785"/>
      <c r="I997" s="1785"/>
      <c r="J997" s="1785"/>
      <c r="K997" s="1785"/>
      <c r="L997" s="1785"/>
      <c r="M997" s="1785"/>
      <c r="N997" s="1785"/>
      <c r="O997" s="1785"/>
      <c r="P997" s="1785"/>
      <c r="Q997" s="1785"/>
      <c r="R997" s="1785"/>
      <c r="S997" s="1785"/>
      <c r="T997" s="1785"/>
      <c r="U997" s="1785"/>
      <c r="V997" s="1785"/>
      <c r="W997" s="1785"/>
      <c r="X997" s="1785"/>
      <c r="Y997" s="1785"/>
      <c r="Z997" s="1785"/>
      <c r="AA997" s="1785"/>
      <c r="AB997" s="1785"/>
      <c r="AC997" s="1785"/>
      <c r="AD997" s="1785"/>
      <c r="AE997" s="1786"/>
      <c r="AF997" s="73"/>
      <c r="AG997" s="14"/>
      <c r="AH997" s="14"/>
      <c r="AI997" s="83"/>
      <c r="AJ997" s="1750"/>
      <c r="AK997" s="1751"/>
      <c r="AL997" s="1751"/>
      <c r="AM997" s="1751"/>
      <c r="AN997" s="1751"/>
      <c r="AO997" s="1751"/>
      <c r="AP997" s="1751"/>
      <c r="AQ997" s="1752"/>
      <c r="AR997" s="68"/>
      <c r="AS997" s="68"/>
      <c r="AT997" s="68"/>
      <c r="AU997" s="68"/>
      <c r="AV997" s="68"/>
      <c r="AW997" s="68"/>
      <c r="AX997" s="68"/>
      <c r="AY997" s="68"/>
      <c r="AZ997" s="34"/>
      <c r="BA997" s="34"/>
      <c r="BB997" s="34"/>
      <c r="BC997" s="34"/>
    </row>
    <row r="998" spans="1:55" ht="12.9" customHeight="1">
      <c r="A998" s="14"/>
      <c r="B998" s="257"/>
      <c r="C998" s="256"/>
      <c r="D998" s="1784"/>
      <c r="E998" s="1785"/>
      <c r="F998" s="1785"/>
      <c r="G998" s="1785"/>
      <c r="H998" s="1785"/>
      <c r="I998" s="1785"/>
      <c r="J998" s="1785"/>
      <c r="K998" s="1785"/>
      <c r="L998" s="1785"/>
      <c r="M998" s="1785"/>
      <c r="N998" s="1785"/>
      <c r="O998" s="1785"/>
      <c r="P998" s="1785"/>
      <c r="Q998" s="1785"/>
      <c r="R998" s="1785"/>
      <c r="S998" s="1785"/>
      <c r="T998" s="1785"/>
      <c r="U998" s="1785"/>
      <c r="V998" s="1785"/>
      <c r="W998" s="1785"/>
      <c r="X998" s="1785"/>
      <c r="Y998" s="1785"/>
      <c r="Z998" s="1785"/>
      <c r="AA998" s="1785"/>
      <c r="AB998" s="1785"/>
      <c r="AC998" s="1785"/>
      <c r="AD998" s="1785"/>
      <c r="AE998" s="1786"/>
      <c r="AF998" s="73"/>
      <c r="AG998" s="14"/>
      <c r="AH998" s="14"/>
      <c r="AI998" s="83"/>
      <c r="AJ998" s="1750"/>
      <c r="AK998" s="1751"/>
      <c r="AL998" s="1751"/>
      <c r="AM998" s="1751"/>
      <c r="AN998" s="1751"/>
      <c r="AO998" s="1751"/>
      <c r="AP998" s="1751"/>
      <c r="AQ998" s="1752"/>
      <c r="AR998" s="68"/>
      <c r="AS998" s="68"/>
      <c r="AT998" s="68"/>
      <c r="AU998" s="68"/>
      <c r="AV998" s="68"/>
      <c r="AW998" s="68"/>
      <c r="AX998" s="68"/>
      <c r="AY998" s="68"/>
      <c r="AZ998" s="34"/>
      <c r="BA998" s="34"/>
      <c r="BB998" s="34"/>
      <c r="BC998" s="34"/>
    </row>
    <row r="999" spans="1:55" ht="12.9" customHeight="1">
      <c r="A999" s="14"/>
      <c r="B999" s="257"/>
      <c r="C999" s="256"/>
      <c r="D999" s="1787" t="s">
        <v>2206</v>
      </c>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3"/>
      <c r="AG999" s="14"/>
      <c r="AH999" s="14"/>
      <c r="AI999" s="83"/>
      <c r="AJ999" s="1750"/>
      <c r="AK999" s="1751"/>
      <c r="AL999" s="1751"/>
      <c r="AM999" s="1751"/>
      <c r="AN999" s="1751"/>
      <c r="AO999" s="1751"/>
      <c r="AP999" s="1751"/>
      <c r="AQ999" s="1752"/>
      <c r="AR999" s="68"/>
      <c r="AS999" s="68"/>
      <c r="AT999" s="68"/>
      <c r="AU999" s="68"/>
      <c r="AV999" s="68"/>
      <c r="AW999" s="68"/>
      <c r="AX999" s="68"/>
      <c r="AY999" s="68"/>
      <c r="AZ999" s="34"/>
      <c r="BA999" s="34"/>
      <c r="BB999" s="34"/>
      <c r="BC999" s="34"/>
    </row>
    <row r="1000" spans="1:55" ht="12.9" customHeight="1">
      <c r="A1000" s="14"/>
      <c r="B1000" s="257"/>
      <c r="C1000" s="256"/>
      <c r="D1000" s="1818" t="s">
        <v>2744</v>
      </c>
      <c r="E1000" s="1819"/>
      <c r="F1000" s="1819"/>
      <c r="G1000" s="1819"/>
      <c r="H1000" s="1819"/>
      <c r="I1000" s="1819"/>
      <c r="J1000" s="1819"/>
      <c r="K1000" s="1819"/>
      <c r="L1000" s="1819"/>
      <c r="M1000" s="1819"/>
      <c r="N1000" s="1819"/>
      <c r="O1000" s="1819"/>
      <c r="P1000" s="1819"/>
      <c r="Q1000" s="1819"/>
      <c r="R1000" s="1819"/>
      <c r="S1000" s="1819"/>
      <c r="T1000" s="1819"/>
      <c r="U1000" s="1819"/>
      <c r="V1000" s="1819"/>
      <c r="W1000" s="1819"/>
      <c r="X1000" s="1819"/>
      <c r="Y1000" s="1819"/>
      <c r="Z1000" s="1819"/>
      <c r="AA1000" s="1819"/>
      <c r="AB1000" s="1819"/>
      <c r="AC1000" s="1819"/>
      <c r="AD1000" s="1819"/>
      <c r="AE1000" s="1820"/>
      <c r="AF1000" s="77"/>
      <c r="AG1000" s="7"/>
      <c r="AH1000" s="7"/>
      <c r="AI1000" s="78"/>
      <c r="AJ1000" s="1753"/>
      <c r="AK1000" s="1754"/>
      <c r="AL1000" s="1754"/>
      <c r="AM1000" s="1754"/>
      <c r="AN1000" s="1754"/>
      <c r="AO1000" s="1754"/>
      <c r="AP1000" s="1754"/>
      <c r="AQ1000" s="1755"/>
      <c r="AR1000" s="68"/>
      <c r="AS1000" s="68"/>
      <c r="AT1000" s="68"/>
      <c r="AU1000" s="68"/>
      <c r="AV1000" s="68"/>
      <c r="AW1000" s="68"/>
      <c r="AX1000" s="68"/>
      <c r="AY1000" s="68"/>
      <c r="AZ1000" s="34"/>
      <c r="BA1000" s="34"/>
      <c r="BB1000" s="34"/>
      <c r="BC1000" s="34"/>
    </row>
    <row r="1001" spans="1:55" ht="12.9" customHeight="1">
      <c r="A1001" s="14"/>
      <c r="B1001" s="255"/>
      <c r="C1001" s="318"/>
      <c r="D1001" s="1781" t="s">
        <v>1287</v>
      </c>
      <c r="E1001" s="1782"/>
      <c r="F1001" s="1782"/>
      <c r="G1001" s="1782"/>
      <c r="H1001" s="1782"/>
      <c r="I1001" s="1782"/>
      <c r="J1001" s="1782"/>
      <c r="K1001" s="1782"/>
      <c r="L1001" s="1782"/>
      <c r="M1001" s="1782"/>
      <c r="N1001" s="1782"/>
      <c r="O1001" s="1782"/>
      <c r="P1001" s="1782"/>
      <c r="Q1001" s="1782"/>
      <c r="R1001" s="1782"/>
      <c r="S1001" s="1782"/>
      <c r="T1001" s="1782"/>
      <c r="U1001" s="1782"/>
      <c r="V1001" s="1782"/>
      <c r="W1001" s="1782"/>
      <c r="X1001" s="1782"/>
      <c r="Y1001" s="1782"/>
      <c r="Z1001" s="1782"/>
      <c r="AA1001" s="1782"/>
      <c r="AB1001" s="1782"/>
      <c r="AC1001" s="1782"/>
      <c r="AD1001" s="1782"/>
      <c r="AE1001" s="1783"/>
      <c r="AF1001" s="79"/>
      <c r="AG1001" s="1770" t="s">
        <v>670</v>
      </c>
      <c r="AH1001" s="1771"/>
      <c r="AI1001" s="87"/>
      <c r="AJ1001" s="1747">
        <f>ROUND(IF(AG1001="yes",AJ992*0.05,0),0)</f>
        <v>0</v>
      </c>
      <c r="AK1001" s="1748"/>
      <c r="AL1001" s="1748"/>
      <c r="AM1001" s="1748"/>
      <c r="AN1001" s="1748"/>
      <c r="AO1001" s="1748"/>
      <c r="AP1001" s="1748"/>
      <c r="AQ1001" s="1749"/>
      <c r="AR1001" s="68"/>
      <c r="AS1001" s="68"/>
      <c r="AT1001" s="68"/>
      <c r="AU1001" s="68"/>
      <c r="AV1001" s="68"/>
      <c r="AW1001" s="68"/>
      <c r="AX1001" s="68"/>
      <c r="AY1001" s="68"/>
      <c r="AZ1001" s="34"/>
      <c r="BA1001" s="34"/>
      <c r="BB1001" s="34"/>
      <c r="BC1001" s="34"/>
    </row>
    <row r="1002" spans="1:55" ht="12.9" customHeight="1">
      <c r="A1002" s="14"/>
      <c r="B1002" s="257"/>
      <c r="C1002" s="82"/>
      <c r="D1002" s="1784" t="s">
        <v>1285</v>
      </c>
      <c r="E1002" s="1785"/>
      <c r="F1002" s="1785"/>
      <c r="G1002" s="1785"/>
      <c r="H1002" s="1785"/>
      <c r="I1002" s="1785"/>
      <c r="J1002" s="1785"/>
      <c r="K1002" s="1785"/>
      <c r="L1002" s="1785"/>
      <c r="M1002" s="1785"/>
      <c r="N1002" s="1785"/>
      <c r="O1002" s="1785"/>
      <c r="P1002" s="1785"/>
      <c r="Q1002" s="1785"/>
      <c r="R1002" s="1785"/>
      <c r="S1002" s="1785"/>
      <c r="T1002" s="1785"/>
      <c r="U1002" s="1785"/>
      <c r="V1002" s="1785"/>
      <c r="W1002" s="1785"/>
      <c r="X1002" s="1785"/>
      <c r="Y1002" s="1785"/>
      <c r="Z1002" s="1785"/>
      <c r="AA1002" s="1785"/>
      <c r="AB1002" s="1785"/>
      <c r="AC1002" s="1785"/>
      <c r="AD1002" s="1785"/>
      <c r="AE1002" s="1786"/>
      <c r="AF1002" s="73"/>
      <c r="AG1002" s="14"/>
      <c r="AH1002" s="14"/>
      <c r="AI1002" s="83"/>
      <c r="AJ1002" s="1750"/>
      <c r="AK1002" s="1751"/>
      <c r="AL1002" s="1751"/>
      <c r="AM1002" s="1751"/>
      <c r="AN1002" s="1751"/>
      <c r="AO1002" s="1751"/>
      <c r="AP1002" s="1751"/>
      <c r="AQ1002" s="1752"/>
      <c r="AR1002" s="68"/>
      <c r="AS1002" s="68"/>
      <c r="AT1002" s="68"/>
      <c r="AU1002" s="68"/>
      <c r="AV1002" s="68"/>
      <c r="AW1002" s="68"/>
      <c r="AX1002" s="68"/>
      <c r="AY1002" s="34"/>
      <c r="AZ1002" s="34"/>
      <c r="BB1002" s="34"/>
    </row>
    <row r="1003" spans="1:55" ht="12.9" customHeight="1">
      <c r="A1003" s="14"/>
      <c r="B1003" s="257"/>
      <c r="C1003" s="82"/>
      <c r="D1003" s="1784"/>
      <c r="E1003" s="1785"/>
      <c r="F1003" s="1785"/>
      <c r="G1003" s="1785"/>
      <c r="H1003" s="1785"/>
      <c r="I1003" s="1785"/>
      <c r="J1003" s="1785"/>
      <c r="K1003" s="1785"/>
      <c r="L1003" s="1785"/>
      <c r="M1003" s="1785"/>
      <c r="N1003" s="1785"/>
      <c r="O1003" s="1785"/>
      <c r="P1003" s="1785"/>
      <c r="Q1003" s="1785"/>
      <c r="R1003" s="1785"/>
      <c r="S1003" s="1785"/>
      <c r="T1003" s="1785"/>
      <c r="U1003" s="1785"/>
      <c r="V1003" s="1785"/>
      <c r="W1003" s="1785"/>
      <c r="X1003" s="1785"/>
      <c r="Y1003" s="1785"/>
      <c r="Z1003" s="1785"/>
      <c r="AA1003" s="1785"/>
      <c r="AB1003" s="1785"/>
      <c r="AC1003" s="1785"/>
      <c r="AD1003" s="1785"/>
      <c r="AE1003" s="1786"/>
      <c r="AF1003" s="73"/>
      <c r="AG1003" s="14"/>
      <c r="AH1003" s="14"/>
      <c r="AI1003" s="83"/>
      <c r="AJ1003" s="1750"/>
      <c r="AK1003" s="1751"/>
      <c r="AL1003" s="1751"/>
      <c r="AM1003" s="1751"/>
      <c r="AN1003" s="1751"/>
      <c r="AO1003" s="1751"/>
      <c r="AP1003" s="1751"/>
      <c r="AQ1003" s="1752"/>
      <c r="AR1003" s="68"/>
      <c r="AS1003" s="68"/>
      <c r="AT1003" s="68"/>
      <c r="AU1003" s="68"/>
      <c r="AV1003" s="68"/>
      <c r="AW1003" s="68"/>
      <c r="AX1003" s="68"/>
      <c r="AY1003" s="914">
        <f>G753+O797</f>
        <v>45</v>
      </c>
      <c r="AZ1003" s="34"/>
      <c r="BB1003" s="34"/>
    </row>
    <row r="1004" spans="1:55" ht="12.9" customHeight="1">
      <c r="A1004" s="14"/>
      <c r="B1004" s="257"/>
      <c r="C1004" s="82"/>
      <c r="D1004" s="1784"/>
      <c r="E1004" s="1785"/>
      <c r="F1004" s="1785"/>
      <c r="G1004" s="1785"/>
      <c r="H1004" s="1785"/>
      <c r="I1004" s="1785"/>
      <c r="J1004" s="1785"/>
      <c r="K1004" s="1785"/>
      <c r="L1004" s="1785"/>
      <c r="M1004" s="1785"/>
      <c r="N1004" s="1785"/>
      <c r="O1004" s="1785"/>
      <c r="P1004" s="1785"/>
      <c r="Q1004" s="1785"/>
      <c r="R1004" s="1785"/>
      <c r="S1004" s="1785"/>
      <c r="T1004" s="1785"/>
      <c r="U1004" s="1785"/>
      <c r="V1004" s="1785"/>
      <c r="W1004" s="1785"/>
      <c r="X1004" s="1785"/>
      <c r="Y1004" s="1785"/>
      <c r="Z1004" s="1785"/>
      <c r="AA1004" s="1785"/>
      <c r="AB1004" s="1785"/>
      <c r="AC1004" s="1785"/>
      <c r="AD1004" s="1785"/>
      <c r="AE1004" s="1786"/>
      <c r="AF1004" s="73"/>
      <c r="AG1004" s="14"/>
      <c r="AH1004" s="14"/>
      <c r="AI1004" s="83"/>
      <c r="AJ1004" s="1750"/>
      <c r="AK1004" s="1751"/>
      <c r="AL1004" s="1751"/>
      <c r="AM1004" s="1751"/>
      <c r="AN1004" s="1751"/>
      <c r="AO1004" s="1751"/>
      <c r="AP1004" s="1751"/>
      <c r="AQ1004" s="1752"/>
      <c r="AR1004" s="68"/>
      <c r="AS1004" s="68"/>
      <c r="AT1004" s="68"/>
      <c r="AU1004" s="68"/>
      <c r="AV1004" s="68"/>
      <c r="AW1004" s="68"/>
      <c r="AX1004" s="68"/>
      <c r="AY1004" s="14"/>
      <c r="AZ1004" s="34"/>
      <c r="BB1004" s="34"/>
    </row>
    <row r="1005" spans="1:55" ht="12.9" customHeight="1">
      <c r="A1005" s="14"/>
      <c r="B1005" s="257"/>
      <c r="C1005" s="82"/>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50"/>
      <c r="AK1005" s="1751"/>
      <c r="AL1005" s="1751"/>
      <c r="AM1005" s="1751"/>
      <c r="AN1005" s="1751"/>
      <c r="AO1005" s="1751"/>
      <c r="AP1005" s="1751"/>
      <c r="AQ1005" s="1752"/>
      <c r="AR1005" s="68"/>
      <c r="AS1005" s="68"/>
      <c r="AT1005" s="68"/>
      <c r="AU1005" s="68"/>
      <c r="AV1005" s="68"/>
      <c r="AW1005" s="68"/>
      <c r="AX1005" s="68"/>
      <c r="AY1005" s="913">
        <f>ROUNDDOWN(X1048/I1048,2)</f>
        <v>0.26</v>
      </c>
      <c r="AZ1005" s="34"/>
      <c r="BB1005" s="34"/>
    </row>
    <row r="1006" spans="1:55" ht="12.9" customHeight="1">
      <c r="A1006" s="14"/>
      <c r="B1006" s="75"/>
      <c r="C1006" s="76"/>
      <c r="D1006" s="1787"/>
      <c r="E1006" s="1788"/>
      <c r="F1006" s="1788"/>
      <c r="G1006" s="1788"/>
      <c r="H1006" s="1788"/>
      <c r="I1006" s="1788"/>
      <c r="J1006" s="1788"/>
      <c r="K1006" s="1788"/>
      <c r="L1006" s="1788"/>
      <c r="M1006" s="1788"/>
      <c r="N1006" s="1788"/>
      <c r="O1006" s="1788"/>
      <c r="P1006" s="1788"/>
      <c r="Q1006" s="1788"/>
      <c r="R1006" s="1788"/>
      <c r="S1006" s="1788"/>
      <c r="T1006" s="1788"/>
      <c r="U1006" s="1788"/>
      <c r="V1006" s="1788"/>
      <c r="W1006" s="1788"/>
      <c r="X1006" s="1788"/>
      <c r="Y1006" s="1788"/>
      <c r="Z1006" s="1788"/>
      <c r="AA1006" s="1788"/>
      <c r="AB1006" s="1788"/>
      <c r="AC1006" s="1788"/>
      <c r="AD1006" s="1788"/>
      <c r="AE1006" s="1789"/>
      <c r="AF1006" s="77"/>
      <c r="AG1006" s="7"/>
      <c r="AH1006" s="7"/>
      <c r="AI1006" s="78"/>
      <c r="AJ1006" s="1753"/>
      <c r="AK1006" s="1754"/>
      <c r="AL1006" s="1754"/>
      <c r="AM1006" s="1754"/>
      <c r="AN1006" s="1754"/>
      <c r="AO1006" s="1754"/>
      <c r="AP1006" s="1754"/>
      <c r="AQ1006" s="1755"/>
      <c r="AR1006" s="68"/>
      <c r="AS1006" s="68"/>
      <c r="AT1006" s="68"/>
      <c r="AU1006" s="68"/>
      <c r="AV1006" s="68"/>
      <c r="AW1006" s="68"/>
      <c r="AX1006" s="68"/>
      <c r="AY1006" s="913">
        <f>ROUNDDOWN(X1052/I1052,2)</f>
        <v>0.11</v>
      </c>
      <c r="AZ1006" s="34"/>
      <c r="BB1006" s="34"/>
    </row>
    <row r="1007" spans="1:55" ht="12.9" customHeight="1">
      <c r="A1007" s="14"/>
      <c r="B1007" s="255"/>
      <c r="C1007" s="80" t="s">
        <v>673</v>
      </c>
      <c r="D1007" s="1781" t="s">
        <v>1684</v>
      </c>
      <c r="E1007" s="1782"/>
      <c r="F1007" s="1782"/>
      <c r="G1007" s="1782"/>
      <c r="H1007" s="1782"/>
      <c r="I1007" s="1782"/>
      <c r="J1007" s="1782"/>
      <c r="K1007" s="1782"/>
      <c r="L1007" s="1782"/>
      <c r="M1007" s="1782"/>
      <c r="N1007" s="1782"/>
      <c r="O1007" s="1782"/>
      <c r="P1007" s="1782"/>
      <c r="Q1007" s="1782"/>
      <c r="R1007" s="1782"/>
      <c r="S1007" s="1782"/>
      <c r="T1007" s="1782"/>
      <c r="U1007" s="1782"/>
      <c r="V1007" s="1782"/>
      <c r="W1007" s="1782"/>
      <c r="X1007" s="1782"/>
      <c r="Y1007" s="1782"/>
      <c r="Z1007" s="1782"/>
      <c r="AA1007" s="1782"/>
      <c r="AB1007" s="1782"/>
      <c r="AC1007" s="1782"/>
      <c r="AD1007" s="1782"/>
      <c r="AE1007" s="1783"/>
      <c r="AF1007" s="86"/>
      <c r="AG1007" s="1770" t="s">
        <v>670</v>
      </c>
      <c r="AH1007" s="1771"/>
      <c r="AI1007" s="87"/>
      <c r="AJ1007" s="1747">
        <f>ROUND(IF(AG1007="yes",AJ992*0.1,0),0)</f>
        <v>0</v>
      </c>
      <c r="AK1007" s="1748"/>
      <c r="AL1007" s="1748"/>
      <c r="AM1007" s="1748"/>
      <c r="AN1007" s="1748"/>
      <c r="AO1007" s="1748"/>
      <c r="AP1007" s="1748"/>
      <c r="AQ1007" s="1749"/>
      <c r="AR1007" s="68"/>
      <c r="AS1007" s="68"/>
      <c r="AT1007" s="68"/>
      <c r="AU1007" s="68"/>
      <c r="AV1007" s="68"/>
      <c r="AW1007" s="68"/>
      <c r="AX1007" s="68"/>
      <c r="BB1007" s="34"/>
    </row>
    <row r="1008" spans="1:55" ht="12.9" customHeight="1">
      <c r="A1008" s="14"/>
      <c r="B1008" s="73"/>
      <c r="C1008" s="74"/>
      <c r="D1008" s="1713" t="s">
        <v>1286</v>
      </c>
      <c r="E1008" s="1714"/>
      <c r="F1008" s="1714"/>
      <c r="G1008" s="1714"/>
      <c r="H1008" s="1714"/>
      <c r="I1008" s="1714"/>
      <c r="J1008" s="1714"/>
      <c r="K1008" s="1714"/>
      <c r="L1008" s="1714"/>
      <c r="M1008" s="1714"/>
      <c r="N1008" s="1714"/>
      <c r="O1008" s="1714"/>
      <c r="P1008" s="1714"/>
      <c r="Q1008" s="1714"/>
      <c r="R1008" s="1714"/>
      <c r="S1008" s="1714"/>
      <c r="T1008" s="1714"/>
      <c r="U1008" s="1714"/>
      <c r="V1008" s="1714"/>
      <c r="W1008" s="1714"/>
      <c r="X1008" s="1714"/>
      <c r="Y1008" s="1714"/>
      <c r="Z1008" s="1714"/>
      <c r="AA1008" s="1714"/>
      <c r="AB1008" s="1714"/>
      <c r="AC1008" s="1714"/>
      <c r="AD1008" s="1714"/>
      <c r="AE1008" s="1715"/>
      <c r="AF1008" s="73"/>
      <c r="AI1008" s="83"/>
      <c r="AJ1008" s="1750"/>
      <c r="AK1008" s="1751"/>
      <c r="AL1008" s="1751"/>
      <c r="AM1008" s="1751"/>
      <c r="AN1008" s="1751"/>
      <c r="AO1008" s="1751"/>
      <c r="AP1008" s="1751"/>
      <c r="AQ1008" s="1752"/>
      <c r="AR1008" s="68"/>
      <c r="AS1008" s="68"/>
      <c r="AT1008" s="68"/>
      <c r="AU1008" s="68"/>
      <c r="AV1008" s="68"/>
      <c r="AW1008" s="68"/>
      <c r="AX1008" s="68"/>
    </row>
    <row r="1009" spans="1:52" ht="12.9" customHeight="1">
      <c r="A1009" s="14"/>
      <c r="B1009" s="73"/>
      <c r="C1009" s="74"/>
      <c r="D1009" s="1713"/>
      <c r="E1009" s="1714"/>
      <c r="F1009" s="1714"/>
      <c r="G1009" s="1714"/>
      <c r="H1009" s="1714"/>
      <c r="I1009" s="1714"/>
      <c r="J1009" s="1714"/>
      <c r="K1009" s="1714"/>
      <c r="L1009" s="1714"/>
      <c r="M1009" s="1714"/>
      <c r="N1009" s="1714"/>
      <c r="O1009" s="1714"/>
      <c r="P1009" s="1714"/>
      <c r="Q1009" s="1714"/>
      <c r="R1009" s="1714"/>
      <c r="S1009" s="1714"/>
      <c r="T1009" s="1714"/>
      <c r="U1009" s="1714"/>
      <c r="V1009" s="1714"/>
      <c r="W1009" s="1714"/>
      <c r="X1009" s="1714"/>
      <c r="Y1009" s="1714"/>
      <c r="Z1009" s="1714"/>
      <c r="AA1009" s="1714"/>
      <c r="AB1009" s="1714"/>
      <c r="AC1009" s="1714"/>
      <c r="AD1009" s="1714"/>
      <c r="AE1009" s="1715"/>
      <c r="AF1009" s="73"/>
      <c r="AG1009" s="14"/>
      <c r="AH1009" s="14"/>
      <c r="AI1009" s="83"/>
      <c r="AJ1009" s="1750"/>
      <c r="AK1009" s="1751"/>
      <c r="AL1009" s="1751"/>
      <c r="AM1009" s="1751"/>
      <c r="AN1009" s="1751"/>
      <c r="AO1009" s="1751"/>
      <c r="AP1009" s="1751"/>
      <c r="AQ1009" s="1752"/>
      <c r="AR1009" s="68"/>
      <c r="AS1009" s="68"/>
      <c r="AT1009" s="68"/>
      <c r="AU1009" s="68"/>
      <c r="AV1009" s="68"/>
      <c r="AW1009" s="68"/>
      <c r="AX1009" s="68"/>
    </row>
    <row r="1010" spans="1:52" ht="12.9" customHeight="1">
      <c r="A1010" s="14"/>
      <c r="B1010" s="85"/>
      <c r="C1010" s="76"/>
      <c r="D1010" s="1762"/>
      <c r="E1010" s="1763"/>
      <c r="F1010" s="1763"/>
      <c r="G1010" s="1763"/>
      <c r="H1010" s="1763"/>
      <c r="I1010" s="1763"/>
      <c r="J1010" s="1763"/>
      <c r="K1010" s="1763"/>
      <c r="L1010" s="1763"/>
      <c r="M1010" s="1763"/>
      <c r="N1010" s="1763"/>
      <c r="O1010" s="1763"/>
      <c r="P1010" s="1763"/>
      <c r="Q1010" s="1763"/>
      <c r="R1010" s="1763"/>
      <c r="S1010" s="1763"/>
      <c r="T1010" s="1763"/>
      <c r="U1010" s="1763"/>
      <c r="V1010" s="1763"/>
      <c r="W1010" s="1763"/>
      <c r="X1010" s="1763"/>
      <c r="Y1010" s="1763"/>
      <c r="Z1010" s="1763"/>
      <c r="AA1010" s="1763"/>
      <c r="AB1010" s="1763"/>
      <c r="AC1010" s="1763"/>
      <c r="AD1010" s="1763"/>
      <c r="AE1010" s="1764"/>
      <c r="AF1010" s="77"/>
      <c r="AG1010" s="7"/>
      <c r="AH1010" s="7"/>
      <c r="AI1010" s="78"/>
      <c r="AJ1010" s="1753"/>
      <c r="AK1010" s="1754"/>
      <c r="AL1010" s="1754"/>
      <c r="AM1010" s="1754"/>
      <c r="AN1010" s="1754"/>
      <c r="AO1010" s="1754"/>
      <c r="AP1010" s="1754"/>
      <c r="AQ1010" s="1755"/>
      <c r="AR1010" s="68"/>
      <c r="AS1010" s="68"/>
      <c r="AT1010" s="68"/>
      <c r="AU1010" s="68"/>
      <c r="AV1010" s="68"/>
      <c r="AW1010" s="68"/>
      <c r="AX1010" s="68"/>
    </row>
    <row r="1011" spans="1:52" ht="12.9" customHeight="1">
      <c r="A1011" s="14"/>
      <c r="B1011" s="79"/>
      <c r="C1011" s="80" t="s">
        <v>212</v>
      </c>
      <c r="D1011" s="1781" t="s">
        <v>1288</v>
      </c>
      <c r="E1011" s="1782"/>
      <c r="F1011" s="1782"/>
      <c r="G1011" s="1782"/>
      <c r="H1011" s="1782"/>
      <c r="I1011" s="1782"/>
      <c r="J1011" s="1782"/>
      <c r="K1011" s="1782"/>
      <c r="L1011" s="1782"/>
      <c r="M1011" s="1782"/>
      <c r="N1011" s="1782"/>
      <c r="O1011" s="1782"/>
      <c r="P1011" s="1782"/>
      <c r="Q1011" s="1782"/>
      <c r="R1011" s="1782"/>
      <c r="S1011" s="1782"/>
      <c r="T1011" s="1782"/>
      <c r="U1011" s="1782"/>
      <c r="V1011" s="1782"/>
      <c r="W1011" s="1782"/>
      <c r="X1011" s="1782"/>
      <c r="Y1011" s="1782"/>
      <c r="Z1011" s="1782"/>
      <c r="AA1011" s="1782"/>
      <c r="AB1011" s="1782"/>
      <c r="AC1011" s="1782"/>
      <c r="AD1011" s="1782"/>
      <c r="AE1011" s="1783"/>
      <c r="AF1011" s="79"/>
      <c r="AG1011" s="1770" t="s">
        <v>670</v>
      </c>
      <c r="AH1011" s="1771"/>
      <c r="AI1011" s="87"/>
      <c r="AJ1011" s="1747">
        <f>ROUND(IF(AG1011="yes",AJ992*0.02,0),0)</f>
        <v>0</v>
      </c>
      <c r="AK1011" s="1748"/>
      <c r="AL1011" s="1748"/>
      <c r="AM1011" s="1748"/>
      <c r="AN1011" s="1748"/>
      <c r="AO1011" s="1748"/>
      <c r="AP1011" s="1748"/>
      <c r="AQ1011" s="1749"/>
      <c r="AR1011" s="68"/>
      <c r="AS1011" s="68"/>
      <c r="AT1011" s="68"/>
      <c r="AU1011" s="68"/>
      <c r="AV1011" s="68"/>
      <c r="AW1011" s="68"/>
      <c r="AX1011" s="68"/>
    </row>
    <row r="1012" spans="1:52" ht="14.25" customHeight="1">
      <c r="A1012" s="14"/>
      <c r="B1012" s="73"/>
      <c r="C1012" s="74"/>
      <c r="D1012" s="1762" t="s">
        <v>1289</v>
      </c>
      <c r="E1012" s="1763"/>
      <c r="F1012" s="1763"/>
      <c r="G1012" s="1763"/>
      <c r="H1012" s="1763"/>
      <c r="I1012" s="1763"/>
      <c r="J1012" s="1763"/>
      <c r="K1012" s="1763"/>
      <c r="L1012" s="1763"/>
      <c r="M1012" s="1763"/>
      <c r="N1012" s="1763"/>
      <c r="O1012" s="1763"/>
      <c r="P1012" s="1763"/>
      <c r="Q1012" s="1763"/>
      <c r="R1012" s="1763"/>
      <c r="S1012" s="1763"/>
      <c r="T1012" s="1763"/>
      <c r="U1012" s="1763"/>
      <c r="V1012" s="1763"/>
      <c r="W1012" s="1763"/>
      <c r="X1012" s="1763"/>
      <c r="Y1012" s="1763"/>
      <c r="Z1012" s="1763"/>
      <c r="AA1012" s="1763"/>
      <c r="AB1012" s="1763"/>
      <c r="AC1012" s="1763"/>
      <c r="AD1012" s="1763"/>
      <c r="AE1012" s="1764"/>
      <c r="AF1012" s="77"/>
      <c r="AG1012" s="7"/>
      <c r="AH1012" s="7"/>
      <c r="AI1012" s="78"/>
      <c r="AJ1012" s="1753"/>
      <c r="AK1012" s="1754"/>
      <c r="AL1012" s="1754"/>
      <c r="AM1012" s="1754"/>
      <c r="AN1012" s="1754"/>
      <c r="AO1012" s="1754"/>
      <c r="AP1012" s="1754"/>
      <c r="AQ1012" s="1755"/>
      <c r="AR1012" s="68"/>
      <c r="AS1012" s="68"/>
      <c r="AT1012" s="68"/>
      <c r="AU1012" s="68"/>
      <c r="AV1012" s="68"/>
      <c r="AW1012" s="68"/>
      <c r="AX1012" s="3" t="s">
        <v>1842</v>
      </c>
      <c r="AZ1012" s="3" t="s">
        <v>2607</v>
      </c>
    </row>
    <row r="1013" spans="1:52" ht="12.9" customHeight="1">
      <c r="A1013" s="14"/>
      <c r="B1013" s="79"/>
      <c r="C1013" s="80" t="s">
        <v>215</v>
      </c>
      <c r="D1013" s="1781" t="s">
        <v>1290</v>
      </c>
      <c r="E1013" s="1782"/>
      <c r="F1013" s="1782"/>
      <c r="G1013" s="1782"/>
      <c r="H1013" s="1782"/>
      <c r="I1013" s="1782"/>
      <c r="J1013" s="1782"/>
      <c r="K1013" s="1782"/>
      <c r="L1013" s="1782"/>
      <c r="M1013" s="1782"/>
      <c r="N1013" s="1782"/>
      <c r="O1013" s="1782"/>
      <c r="P1013" s="1782"/>
      <c r="Q1013" s="1782"/>
      <c r="R1013" s="1782"/>
      <c r="S1013" s="1782"/>
      <c r="T1013" s="1782"/>
      <c r="U1013" s="1782"/>
      <c r="V1013" s="1782"/>
      <c r="W1013" s="1782"/>
      <c r="X1013" s="1782"/>
      <c r="Y1013" s="1782"/>
      <c r="Z1013" s="1782"/>
      <c r="AA1013" s="1782"/>
      <c r="AB1013" s="1782"/>
      <c r="AC1013" s="1782"/>
      <c r="AD1013" s="1782"/>
      <c r="AE1013" s="1783"/>
      <c r="AF1013" s="79"/>
      <c r="AG1013" s="1770" t="s">
        <v>670</v>
      </c>
      <c r="AH1013" s="1771"/>
      <c r="AI1013" s="79"/>
      <c r="AJ1013" s="1747">
        <f>ROUND(IF(AG1013="yes",AJ992*0.02,0),0)</f>
        <v>0</v>
      </c>
      <c r="AK1013" s="1748"/>
      <c r="AL1013" s="1748"/>
      <c r="AM1013" s="1748"/>
      <c r="AN1013" s="1748"/>
      <c r="AO1013" s="1748"/>
      <c r="AP1013" s="1748"/>
      <c r="AQ1013" s="1749"/>
      <c r="AR1013" s="68"/>
      <c r="AS1013" s="68"/>
      <c r="AT1013" s="68"/>
      <c r="AU1013" s="68"/>
      <c r="AV1013" s="68"/>
      <c r="AW1013" s="68"/>
      <c r="AX1013" s="3">
        <v>1</v>
      </c>
      <c r="AY1013" s="200">
        <f>IF((_xlfn.XLOOKUP(AX1013,$C$1065:$C$1103,$A$1065:$A$1103,"",0,1))="Yes",AZ1013,0)</f>
        <v>0.2</v>
      </c>
      <c r="AZ1013" s="1255">
        <v>0.2</v>
      </c>
    </row>
    <row r="1014" spans="1:52" ht="12.9" customHeight="1">
      <c r="A1014" s="14"/>
      <c r="B1014" s="73"/>
      <c r="C1014" s="74"/>
      <c r="D1014" s="1713" t="s">
        <v>1291</v>
      </c>
      <c r="E1014" s="1714"/>
      <c r="F1014" s="1714"/>
      <c r="G1014" s="1714"/>
      <c r="H1014" s="1714"/>
      <c r="I1014" s="1714"/>
      <c r="J1014" s="1714"/>
      <c r="K1014" s="1714"/>
      <c r="L1014" s="1714"/>
      <c r="M1014" s="1714"/>
      <c r="N1014" s="1714"/>
      <c r="O1014" s="1714"/>
      <c r="P1014" s="1714"/>
      <c r="Q1014" s="1714"/>
      <c r="R1014" s="1714"/>
      <c r="S1014" s="1714"/>
      <c r="T1014" s="1714"/>
      <c r="U1014" s="1714"/>
      <c r="V1014" s="1714"/>
      <c r="W1014" s="1714"/>
      <c r="X1014" s="1714"/>
      <c r="Y1014" s="1714"/>
      <c r="Z1014" s="1714"/>
      <c r="AA1014" s="1714"/>
      <c r="AB1014" s="1714"/>
      <c r="AC1014" s="1714"/>
      <c r="AD1014" s="1714"/>
      <c r="AE1014" s="1715"/>
      <c r="AF1014" s="1865" t="str">
        <f>IF(AND(AG1013="yes",T212&lt;&gt;1),"The project may not be eligible for this boost","")</f>
        <v/>
      </c>
      <c r="AG1014" s="1866"/>
      <c r="AH1014" s="1866"/>
      <c r="AI1014" s="1867"/>
      <c r="AJ1014" s="1750"/>
      <c r="AK1014" s="1751"/>
      <c r="AL1014" s="1751"/>
      <c r="AM1014" s="1751"/>
      <c r="AN1014" s="1751"/>
      <c r="AO1014" s="1751"/>
      <c r="AP1014" s="1751"/>
      <c r="AQ1014" s="1752"/>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62"/>
      <c r="E1015" s="1763"/>
      <c r="F1015" s="1763"/>
      <c r="G1015" s="1763"/>
      <c r="H1015" s="1763"/>
      <c r="I1015" s="1763"/>
      <c r="J1015" s="1763"/>
      <c r="K1015" s="1763"/>
      <c r="L1015" s="1763"/>
      <c r="M1015" s="1763"/>
      <c r="N1015" s="1763"/>
      <c r="O1015" s="1763"/>
      <c r="P1015" s="1763"/>
      <c r="Q1015" s="1763"/>
      <c r="R1015" s="1763"/>
      <c r="S1015" s="1763"/>
      <c r="T1015" s="1763"/>
      <c r="U1015" s="1763"/>
      <c r="V1015" s="1763"/>
      <c r="W1015" s="1763"/>
      <c r="X1015" s="1763"/>
      <c r="Y1015" s="1763"/>
      <c r="Z1015" s="1763"/>
      <c r="AA1015" s="1763"/>
      <c r="AB1015" s="1763"/>
      <c r="AC1015" s="1763"/>
      <c r="AD1015" s="1763"/>
      <c r="AE1015" s="1764"/>
      <c r="AF1015" s="1868"/>
      <c r="AG1015" s="1869"/>
      <c r="AH1015" s="1869"/>
      <c r="AI1015" s="1870"/>
      <c r="AJ1015" s="1753"/>
      <c r="AK1015" s="1754"/>
      <c r="AL1015" s="1754"/>
      <c r="AM1015" s="1754"/>
      <c r="AN1015" s="1754"/>
      <c r="AO1015" s="1754"/>
      <c r="AP1015" s="1754"/>
      <c r="AQ1015" s="1755"/>
      <c r="AR1015" s="68"/>
      <c r="AS1015" s="68"/>
      <c r="AT1015" s="68"/>
      <c r="AU1015" s="68"/>
      <c r="AV1015" s="68"/>
      <c r="AW1015" s="68"/>
      <c r="AX1015" s="3">
        <v>3</v>
      </c>
      <c r="AY1015" s="200">
        <f t="shared" si="53"/>
        <v>0</v>
      </c>
      <c r="AZ1015" s="1255">
        <v>0.05</v>
      </c>
    </row>
    <row r="1016" spans="1:52" ht="12.9" customHeight="1">
      <c r="A1016" s="14"/>
      <c r="B1016" s="79"/>
      <c r="C1016" s="80" t="s">
        <v>218</v>
      </c>
      <c r="D1016" s="1756" t="s">
        <v>2236</v>
      </c>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79"/>
      <c r="AG1016" s="1770" t="s">
        <v>546</v>
      </c>
      <c r="AH1016" s="1771"/>
      <c r="AI1016" s="87"/>
      <c r="AJ1016" s="1747">
        <f>IF(AG1016="yes",AJ992*AY1024,0)</f>
        <v>4449385.2</v>
      </c>
      <c r="AK1016" s="1748"/>
      <c r="AL1016" s="1748"/>
      <c r="AM1016" s="1748"/>
      <c r="AN1016" s="1748"/>
      <c r="AO1016" s="1748"/>
      <c r="AP1016" s="1748"/>
      <c r="AQ1016" s="1749"/>
      <c r="AR1016" s="68"/>
      <c r="AS1016" s="68"/>
      <c r="AT1016" s="68"/>
      <c r="AU1016" s="68"/>
      <c r="AV1016" s="68"/>
      <c r="AW1016" s="68"/>
      <c r="AX1016" s="3">
        <v>4</v>
      </c>
      <c r="AY1016" s="200">
        <f t="shared" si="53"/>
        <v>0</v>
      </c>
      <c r="AZ1016" s="1255">
        <v>0.02</v>
      </c>
    </row>
    <row r="1017" spans="1:52" ht="12.9" customHeight="1">
      <c r="A1017" s="14"/>
      <c r="B1017" s="73"/>
      <c r="C1017" s="74"/>
      <c r="D1017" s="1713" t="s">
        <v>1292</v>
      </c>
      <c r="E1017" s="1714"/>
      <c r="F1017" s="1714"/>
      <c r="G1017" s="1714"/>
      <c r="H1017" s="1714"/>
      <c r="I1017" s="1714"/>
      <c r="J1017" s="1714"/>
      <c r="K1017" s="1714"/>
      <c r="L1017" s="1714"/>
      <c r="M1017" s="1714"/>
      <c r="N1017" s="1714"/>
      <c r="O1017" s="1714"/>
      <c r="P1017" s="1714"/>
      <c r="Q1017" s="1714"/>
      <c r="R1017" s="1714"/>
      <c r="S1017" s="1714"/>
      <c r="T1017" s="1714"/>
      <c r="U1017" s="1714"/>
      <c r="V1017" s="1714"/>
      <c r="W1017" s="1714"/>
      <c r="X1017" s="1714"/>
      <c r="Y1017" s="1714"/>
      <c r="Z1017" s="1714"/>
      <c r="AA1017" s="1714"/>
      <c r="AB1017" s="1714"/>
      <c r="AC1017" s="1714"/>
      <c r="AD1017" s="1714"/>
      <c r="AE1017" s="1715"/>
      <c r="AF1017" s="1859" t="str">
        <f>IF(AND(AG1016="Yes",AY1024=0),AY1027,"")</f>
        <v/>
      </c>
      <c r="AG1017" s="1860"/>
      <c r="AH1017" s="1860"/>
      <c r="AI1017" s="1861"/>
      <c r="AJ1017" s="1750"/>
      <c r="AK1017" s="1751"/>
      <c r="AL1017" s="1751"/>
      <c r="AM1017" s="1751"/>
      <c r="AN1017" s="1751"/>
      <c r="AO1017" s="1751"/>
      <c r="AP1017" s="1751"/>
      <c r="AQ1017" s="1752"/>
      <c r="AR1017" s="68"/>
      <c r="AS1017" s="68"/>
      <c r="AT1017" s="68"/>
      <c r="AU1017" s="68"/>
      <c r="AV1017" s="68"/>
      <c r="AW1017" s="68"/>
      <c r="AX1017" s="3">
        <v>5</v>
      </c>
      <c r="AY1017" s="200">
        <f t="shared" si="53"/>
        <v>0</v>
      </c>
      <c r="AZ1017" s="1255">
        <v>0.04</v>
      </c>
    </row>
    <row r="1018" spans="1:52" ht="12.9" customHeight="1">
      <c r="A1018" s="14"/>
      <c r="B1018" s="73"/>
      <c r="C1018" s="74"/>
      <c r="D1018" s="1713"/>
      <c r="E1018" s="1714"/>
      <c r="F1018" s="1714"/>
      <c r="G1018" s="1714"/>
      <c r="H1018" s="1714"/>
      <c r="I1018" s="1714"/>
      <c r="J1018" s="1714"/>
      <c r="K1018" s="1714"/>
      <c r="L1018" s="1714"/>
      <c r="M1018" s="1714"/>
      <c r="N1018" s="1714"/>
      <c r="O1018" s="1714"/>
      <c r="P1018" s="1714"/>
      <c r="Q1018" s="1714"/>
      <c r="R1018" s="1714"/>
      <c r="S1018" s="1714"/>
      <c r="T1018" s="1714"/>
      <c r="U1018" s="1714"/>
      <c r="V1018" s="1714"/>
      <c r="W1018" s="1714"/>
      <c r="X1018" s="1714"/>
      <c r="Y1018" s="1714"/>
      <c r="Z1018" s="1714"/>
      <c r="AA1018" s="1714"/>
      <c r="AB1018" s="1714"/>
      <c r="AC1018" s="1714"/>
      <c r="AD1018" s="1714"/>
      <c r="AE1018" s="1715"/>
      <c r="AF1018" s="1859"/>
      <c r="AG1018" s="1860"/>
      <c r="AH1018" s="1860"/>
      <c r="AI1018" s="1861"/>
      <c r="AJ1018" s="1750"/>
      <c r="AK1018" s="1751"/>
      <c r="AL1018" s="1751"/>
      <c r="AM1018" s="1751"/>
      <c r="AN1018" s="1751"/>
      <c r="AO1018" s="1751"/>
      <c r="AP1018" s="1751"/>
      <c r="AQ1018" s="1752"/>
      <c r="AR1018" s="68"/>
      <c r="AS1018" s="68"/>
      <c r="AT1018" s="68"/>
      <c r="AU1018" s="68"/>
      <c r="AV1018" s="68"/>
      <c r="AW1018" s="68"/>
      <c r="AX1018" s="3">
        <v>6</v>
      </c>
      <c r="AY1018" s="200">
        <f t="shared" si="53"/>
        <v>0</v>
      </c>
      <c r="AZ1018" s="1255">
        <v>0.04</v>
      </c>
    </row>
    <row r="1019" spans="1:52" ht="12.9" customHeight="1">
      <c r="A1019" s="14"/>
      <c r="B1019" s="81"/>
      <c r="C1019" s="82"/>
      <c r="D1019" s="1762"/>
      <c r="E1019" s="1763"/>
      <c r="F1019" s="1763"/>
      <c r="G1019" s="1763"/>
      <c r="H1019" s="1763"/>
      <c r="I1019" s="1763"/>
      <c r="J1019" s="1763"/>
      <c r="K1019" s="1763"/>
      <c r="L1019" s="1763"/>
      <c r="M1019" s="1763"/>
      <c r="N1019" s="1763"/>
      <c r="O1019" s="1763"/>
      <c r="P1019" s="1763"/>
      <c r="Q1019" s="1763"/>
      <c r="R1019" s="1763"/>
      <c r="S1019" s="1763"/>
      <c r="T1019" s="1763"/>
      <c r="U1019" s="1763"/>
      <c r="V1019" s="1763"/>
      <c r="W1019" s="1763"/>
      <c r="X1019" s="1763"/>
      <c r="Y1019" s="1763"/>
      <c r="Z1019" s="1763"/>
      <c r="AA1019" s="1763"/>
      <c r="AB1019" s="1763"/>
      <c r="AC1019" s="1763"/>
      <c r="AD1019" s="1763"/>
      <c r="AE1019" s="1764"/>
      <c r="AF1019" s="1862"/>
      <c r="AG1019" s="1863"/>
      <c r="AH1019" s="1863"/>
      <c r="AI1019" s="1864"/>
      <c r="AJ1019" s="1753"/>
      <c r="AK1019" s="1754"/>
      <c r="AL1019" s="1754"/>
      <c r="AM1019" s="1754"/>
      <c r="AN1019" s="1754"/>
      <c r="AO1019" s="1754"/>
      <c r="AP1019" s="1754"/>
      <c r="AQ1019" s="1755"/>
      <c r="AR1019" s="68"/>
      <c r="AS1019" s="68"/>
      <c r="AT1019" s="68"/>
      <c r="AU1019" s="68"/>
      <c r="AV1019" s="68"/>
      <c r="AW1019" s="68"/>
      <c r="AX1019" s="3">
        <v>7</v>
      </c>
      <c r="AY1019" s="200">
        <f t="shared" si="53"/>
        <v>0.01</v>
      </c>
      <c r="AZ1019" s="1255">
        <v>0.01</v>
      </c>
    </row>
    <row r="1020" spans="1:52" ht="12.9" customHeight="1">
      <c r="A1020" s="14"/>
      <c r="B1020" s="79"/>
      <c r="C1020" s="80" t="s">
        <v>223</v>
      </c>
      <c r="D1020" s="1831" t="s">
        <v>1293</v>
      </c>
      <c r="E1020" s="1832"/>
      <c r="F1020" s="1832"/>
      <c r="G1020" s="1832"/>
      <c r="H1020" s="1832"/>
      <c r="I1020" s="1832"/>
      <c r="J1020" s="1832"/>
      <c r="K1020" s="1832"/>
      <c r="L1020" s="1832"/>
      <c r="M1020" s="1832"/>
      <c r="N1020" s="1832"/>
      <c r="O1020" s="1832"/>
      <c r="P1020" s="1832"/>
      <c r="Q1020" s="1832"/>
      <c r="R1020" s="1832"/>
      <c r="S1020" s="1832"/>
      <c r="T1020" s="1832"/>
      <c r="U1020" s="1832"/>
      <c r="V1020" s="1832"/>
      <c r="W1020" s="1832"/>
      <c r="X1020" s="1832"/>
      <c r="Y1020" s="1832"/>
      <c r="Z1020" s="1832"/>
      <c r="AA1020" s="1832"/>
      <c r="AB1020" s="1832"/>
      <c r="AC1020" s="1832"/>
      <c r="AD1020" s="1832"/>
      <c r="AE1020" s="1833"/>
      <c r="AF1020" s="79"/>
      <c r="AG1020" s="1770" t="s">
        <v>670</v>
      </c>
      <c r="AH1020" s="1771"/>
      <c r="AI1020" s="87"/>
      <c r="AJ1020" s="1747">
        <f>ROUND(IF(AND(AG1020="Yes",J1024&lt;&gt;"N/A",AF1023&lt;&gt;""),MIN(AF1023,(0.15*AJ992)),0),0)</f>
        <v>0</v>
      </c>
      <c r="AK1020" s="1748"/>
      <c r="AL1020" s="1748"/>
      <c r="AM1020" s="1748"/>
      <c r="AN1020" s="1748"/>
      <c r="AO1020" s="1748"/>
      <c r="AP1020" s="1748"/>
      <c r="AQ1020" s="1749"/>
      <c r="AR1020" s="68"/>
      <c r="AS1020" s="68"/>
      <c r="AT1020" s="68"/>
      <c r="AU1020" s="68"/>
      <c r="AV1020" s="68"/>
      <c r="AW1020" s="68"/>
      <c r="AX1020" s="3">
        <v>8</v>
      </c>
      <c r="AY1020" s="200">
        <f t="shared" si="53"/>
        <v>0</v>
      </c>
      <c r="AZ1020" s="1255">
        <v>0.01</v>
      </c>
    </row>
    <row r="1021" spans="1:52" ht="12.9" customHeight="1">
      <c r="A1021" s="14"/>
      <c r="B1021" s="81"/>
      <c r="C1021" s="84"/>
      <c r="D1021" s="1834"/>
      <c r="E1021" s="1835"/>
      <c r="F1021" s="1835"/>
      <c r="G1021" s="1835"/>
      <c r="H1021" s="1835"/>
      <c r="I1021" s="1835"/>
      <c r="J1021" s="1835"/>
      <c r="K1021" s="1835"/>
      <c r="L1021" s="1835"/>
      <c r="M1021" s="1835"/>
      <c r="N1021" s="1835"/>
      <c r="O1021" s="1835"/>
      <c r="P1021" s="1835"/>
      <c r="Q1021" s="1835"/>
      <c r="R1021" s="1835"/>
      <c r="S1021" s="1835"/>
      <c r="T1021" s="1835"/>
      <c r="U1021" s="1835"/>
      <c r="V1021" s="1835"/>
      <c r="W1021" s="1835"/>
      <c r="X1021" s="1835"/>
      <c r="Y1021" s="1835"/>
      <c r="Z1021" s="1835"/>
      <c r="AA1021" s="1835"/>
      <c r="AB1021" s="1835"/>
      <c r="AC1021" s="1835"/>
      <c r="AD1021" s="1835"/>
      <c r="AE1021" s="1836"/>
      <c r="AF1021" s="1848" t="str">
        <f>IF(AG1020="yes","Please Select Type and Enter Amount:","")</f>
        <v/>
      </c>
      <c r="AG1021" s="1849"/>
      <c r="AH1021" s="1849"/>
      <c r="AI1021" s="1850"/>
      <c r="AJ1021" s="1750"/>
      <c r="AK1021" s="1751"/>
      <c r="AL1021" s="1751"/>
      <c r="AM1021" s="1751"/>
      <c r="AN1021" s="1751"/>
      <c r="AO1021" s="1751"/>
      <c r="AP1021" s="1751"/>
      <c r="AQ1021" s="1752"/>
      <c r="AR1021" s="68"/>
      <c r="AS1021" s="68"/>
      <c r="AT1021" s="68"/>
      <c r="AU1021" s="68"/>
      <c r="AV1021" s="68"/>
      <c r="AW1021" s="68"/>
      <c r="AX1021" s="3">
        <v>9</v>
      </c>
      <c r="AY1021" s="200">
        <f t="shared" si="53"/>
        <v>0</v>
      </c>
      <c r="AZ1021" s="1255">
        <v>0.01</v>
      </c>
    </row>
    <row r="1022" spans="1:52" ht="12.9" customHeight="1">
      <c r="A1022" s="14"/>
      <c r="B1022" s="81"/>
      <c r="C1022" s="84"/>
      <c r="D1022" s="1713" t="s">
        <v>1294</v>
      </c>
      <c r="E1022" s="1714"/>
      <c r="F1022" s="1714"/>
      <c r="G1022" s="1714"/>
      <c r="H1022" s="1714"/>
      <c r="I1022" s="1714"/>
      <c r="J1022" s="1714"/>
      <c r="K1022" s="1714"/>
      <c r="L1022" s="1714"/>
      <c r="M1022" s="1714"/>
      <c r="N1022" s="1714"/>
      <c r="O1022" s="1714"/>
      <c r="P1022" s="1714"/>
      <c r="Q1022" s="1714"/>
      <c r="R1022" s="1714"/>
      <c r="S1022" s="1714"/>
      <c r="T1022" s="1714"/>
      <c r="U1022" s="1714"/>
      <c r="V1022" s="1714"/>
      <c r="W1022" s="1714"/>
      <c r="X1022" s="1714"/>
      <c r="Y1022" s="1714"/>
      <c r="Z1022" s="1714"/>
      <c r="AA1022" s="1714"/>
      <c r="AB1022" s="1714"/>
      <c r="AC1022" s="1714"/>
      <c r="AD1022" s="1714"/>
      <c r="AE1022" s="1715"/>
      <c r="AF1022" s="1848"/>
      <c r="AG1022" s="1849"/>
      <c r="AH1022" s="1849"/>
      <c r="AI1022" s="1850"/>
      <c r="AJ1022" s="1750"/>
      <c r="AK1022" s="1751"/>
      <c r="AL1022" s="1751"/>
      <c r="AM1022" s="1751"/>
      <c r="AN1022" s="1751"/>
      <c r="AO1022" s="1751"/>
      <c r="AP1022" s="1751"/>
      <c r="AQ1022" s="1752"/>
      <c r="AR1022" s="68"/>
      <c r="AS1022" s="68"/>
      <c r="AT1022" s="68"/>
      <c r="AU1022" s="68"/>
      <c r="AV1022" s="68"/>
      <c r="AW1022" s="68"/>
      <c r="AX1022" s="3">
        <v>10</v>
      </c>
      <c r="AY1022" s="200">
        <f t="shared" si="53"/>
        <v>0</v>
      </c>
      <c r="AZ1022" s="1255">
        <v>0.02</v>
      </c>
    </row>
    <row r="1023" spans="1:52" ht="12.9" customHeight="1">
      <c r="A1023" s="14"/>
      <c r="B1023" s="81"/>
      <c r="C1023" s="84"/>
      <c r="D1023" s="1713"/>
      <c r="E1023" s="1714"/>
      <c r="F1023" s="1714"/>
      <c r="G1023" s="1714"/>
      <c r="H1023" s="1714"/>
      <c r="I1023" s="1714"/>
      <c r="J1023" s="1714"/>
      <c r="K1023" s="1714"/>
      <c r="L1023" s="1714"/>
      <c r="M1023" s="1714"/>
      <c r="N1023" s="1714"/>
      <c r="O1023" s="1714"/>
      <c r="P1023" s="1714"/>
      <c r="Q1023" s="1714"/>
      <c r="R1023" s="1714"/>
      <c r="S1023" s="1714"/>
      <c r="T1023" s="1714"/>
      <c r="U1023" s="1714"/>
      <c r="V1023" s="1714"/>
      <c r="W1023" s="1714"/>
      <c r="X1023" s="1714"/>
      <c r="Y1023" s="1714"/>
      <c r="Z1023" s="1714"/>
      <c r="AA1023" s="1714"/>
      <c r="AB1023" s="1714"/>
      <c r="AC1023" s="1714"/>
      <c r="AD1023" s="1714"/>
      <c r="AE1023" s="1715"/>
      <c r="AF1023" s="1790"/>
      <c r="AG1023" s="1790"/>
      <c r="AH1023" s="1790"/>
      <c r="AI1023" s="1790"/>
      <c r="AJ1023" s="1750"/>
      <c r="AK1023" s="1751"/>
      <c r="AL1023" s="1751"/>
      <c r="AM1023" s="1751"/>
      <c r="AN1023" s="1751"/>
      <c r="AO1023" s="1751"/>
      <c r="AP1023" s="1751"/>
      <c r="AQ1023" s="1752"/>
      <c r="AR1023" s="68"/>
      <c r="AS1023" s="68"/>
      <c r="AT1023" s="68"/>
      <c r="AU1023" s="68"/>
      <c r="AV1023" s="68"/>
      <c r="AW1023" s="68"/>
      <c r="AX1023" s="3">
        <v>11</v>
      </c>
      <c r="AY1023" s="200">
        <f t="shared" si="53"/>
        <v>0.02</v>
      </c>
      <c r="AZ1023" s="1255">
        <v>0.02</v>
      </c>
    </row>
    <row r="1024" spans="1:52" ht="12.9" customHeight="1">
      <c r="A1024" s="14"/>
      <c r="B1024" s="81"/>
      <c r="C1024" s="84"/>
      <c r="D1024" s="526" t="s">
        <v>359</v>
      </c>
      <c r="E1024" s="90"/>
      <c r="F1024" s="90"/>
      <c r="G1024" s="104"/>
      <c r="H1024" s="104"/>
      <c r="I1024" s="49"/>
      <c r="J1024" s="1840" t="s">
        <v>592</v>
      </c>
      <c r="K1024" s="1841"/>
      <c r="L1024" s="1841"/>
      <c r="M1024" s="1841"/>
      <c r="N1024" s="1841"/>
      <c r="O1024" s="1841"/>
      <c r="P1024" s="1841"/>
      <c r="Q1024" s="1841"/>
      <c r="R1024" s="1841"/>
      <c r="S1024" s="1841"/>
      <c r="T1024" s="1841"/>
      <c r="U1024" s="1841"/>
      <c r="V1024" s="1841"/>
      <c r="W1024" s="1841"/>
      <c r="X1024" s="1841"/>
      <c r="Y1024" s="1841"/>
      <c r="Z1024" s="1841"/>
      <c r="AA1024" s="1841"/>
      <c r="AB1024" s="1841"/>
      <c r="AC1024" s="1841"/>
      <c r="AD1024" s="1841"/>
      <c r="AE1024" s="1842"/>
      <c r="AF1024" s="1790"/>
      <c r="AG1024" s="1790"/>
      <c r="AH1024" s="1790"/>
      <c r="AI1024" s="1790"/>
      <c r="AJ1024" s="1753"/>
      <c r="AK1024" s="1754"/>
      <c r="AL1024" s="1754"/>
      <c r="AM1024" s="1754"/>
      <c r="AN1024" s="1754"/>
      <c r="AO1024" s="1754"/>
      <c r="AP1024" s="1754"/>
      <c r="AQ1024" s="1755"/>
      <c r="AR1024" s="68"/>
      <c r="AS1024" s="68"/>
      <c r="AT1024" s="68"/>
      <c r="AU1024" s="68"/>
      <c r="AV1024" s="68"/>
      <c r="AW1024" s="68"/>
      <c r="AX1024" s="1032" t="s">
        <v>2606</v>
      </c>
      <c r="AY1024" s="201">
        <f>IF(SUM(AY1013:AY1023)&lt;=0.2,SUM(AY1013:AY1023),0.2)</f>
        <v>0.2</v>
      </c>
    </row>
    <row r="1025" spans="1:57" ht="12.9" customHeight="1">
      <c r="A1025" s="14"/>
      <c r="B1025" s="79"/>
      <c r="C1025" s="80" t="s">
        <v>229</v>
      </c>
      <c r="D1025" s="1781" t="s">
        <v>1295</v>
      </c>
      <c r="E1025" s="1782"/>
      <c r="F1025" s="1782"/>
      <c r="G1025" s="1782"/>
      <c r="H1025" s="1782"/>
      <c r="I1025" s="1782"/>
      <c r="J1025" s="1782"/>
      <c r="K1025" s="1782"/>
      <c r="L1025" s="1782"/>
      <c r="M1025" s="1782"/>
      <c r="N1025" s="1782"/>
      <c r="O1025" s="1782"/>
      <c r="P1025" s="1782"/>
      <c r="Q1025" s="1782"/>
      <c r="R1025" s="1782"/>
      <c r="S1025" s="1782"/>
      <c r="T1025" s="1782"/>
      <c r="U1025" s="1782"/>
      <c r="V1025" s="1782"/>
      <c r="W1025" s="1782"/>
      <c r="X1025" s="1782"/>
      <c r="Y1025" s="1782"/>
      <c r="Z1025" s="1782"/>
      <c r="AA1025" s="1782"/>
      <c r="AB1025" s="1782"/>
      <c r="AC1025" s="1782"/>
      <c r="AD1025" s="1782"/>
      <c r="AE1025" s="1783"/>
      <c r="AF1025" s="79"/>
      <c r="AG1025" s="1770" t="s">
        <v>546</v>
      </c>
      <c r="AH1025" s="1771"/>
      <c r="AI1025" s="87"/>
      <c r="AJ1025" s="1747">
        <f>ROUND(IF(AG1025="Yes",AF1027,0),0)</f>
        <v>652544</v>
      </c>
      <c r="AK1025" s="1748"/>
      <c r="AL1025" s="1748"/>
      <c r="AM1025" s="1748"/>
      <c r="AN1025" s="1748"/>
      <c r="AO1025" s="1748"/>
      <c r="AP1025" s="1748"/>
      <c r="AQ1025" s="1749"/>
      <c r="AR1025" s="68"/>
      <c r="AS1025" s="68"/>
      <c r="AT1025" s="68"/>
      <c r="AU1025" s="68"/>
      <c r="AV1025" s="68"/>
      <c r="AW1025" s="68"/>
      <c r="AX1025" s="68"/>
      <c r="AY1025" s="68"/>
    </row>
    <row r="1026" spans="1:57" ht="12.9" customHeight="1">
      <c r="A1026" s="14"/>
      <c r="B1026" s="73"/>
      <c r="C1026" s="74"/>
      <c r="D1026" s="1713" t="s">
        <v>1691</v>
      </c>
      <c r="E1026" s="1714"/>
      <c r="F1026" s="1714"/>
      <c r="G1026" s="1714"/>
      <c r="H1026" s="1714"/>
      <c r="I1026" s="1714"/>
      <c r="J1026" s="1714"/>
      <c r="K1026" s="1714"/>
      <c r="L1026" s="1714"/>
      <c r="M1026" s="1714"/>
      <c r="N1026" s="1714"/>
      <c r="O1026" s="1714"/>
      <c r="P1026" s="1714"/>
      <c r="Q1026" s="1714"/>
      <c r="R1026" s="1714"/>
      <c r="S1026" s="1714"/>
      <c r="T1026" s="1714"/>
      <c r="U1026" s="1714"/>
      <c r="V1026" s="1714"/>
      <c r="W1026" s="1714"/>
      <c r="X1026" s="1714"/>
      <c r="Y1026" s="1714"/>
      <c r="Z1026" s="1714"/>
      <c r="AA1026" s="1714"/>
      <c r="AB1026" s="1714"/>
      <c r="AC1026" s="1714"/>
      <c r="AD1026" s="1714"/>
      <c r="AE1026" s="1715"/>
      <c r="AF1026" s="1837" t="str">
        <f>IF(AG1025="yes","Enter Amount:","")</f>
        <v>Enter Amount:</v>
      </c>
      <c r="AG1026" s="1838"/>
      <c r="AH1026" s="1838"/>
      <c r="AI1026" s="1839"/>
      <c r="AJ1026" s="1750"/>
      <c r="AK1026" s="1751"/>
      <c r="AL1026" s="1751"/>
      <c r="AM1026" s="1751"/>
      <c r="AN1026" s="1751"/>
      <c r="AO1026" s="1751"/>
      <c r="AP1026" s="1751"/>
      <c r="AQ1026" s="1752"/>
      <c r="AR1026" s="68"/>
      <c r="AS1026" s="68"/>
      <c r="AT1026" s="68"/>
      <c r="AU1026" s="68"/>
      <c r="AV1026" s="68"/>
      <c r="AW1026" s="68"/>
      <c r="AX1026" s="68"/>
      <c r="AY1026" s="68"/>
    </row>
    <row r="1027" spans="1:57" ht="12.9" customHeight="1">
      <c r="A1027" s="14"/>
      <c r="B1027" s="73"/>
      <c r="C1027" s="74"/>
      <c r="D1027" s="1713"/>
      <c r="E1027" s="1714"/>
      <c r="F1027" s="1714"/>
      <c r="G1027" s="1714"/>
      <c r="H1027" s="1714"/>
      <c r="I1027" s="1714"/>
      <c r="J1027" s="1714"/>
      <c r="K1027" s="1714"/>
      <c r="L1027" s="1714"/>
      <c r="M1027" s="1714"/>
      <c r="N1027" s="1714"/>
      <c r="O1027" s="1714"/>
      <c r="P1027" s="1714"/>
      <c r="Q1027" s="1714"/>
      <c r="R1027" s="1714"/>
      <c r="S1027" s="1714"/>
      <c r="T1027" s="1714"/>
      <c r="U1027" s="1714"/>
      <c r="V1027" s="1714"/>
      <c r="W1027" s="1714"/>
      <c r="X1027" s="1714"/>
      <c r="Y1027" s="1714"/>
      <c r="Z1027" s="1714"/>
      <c r="AA1027" s="1714"/>
      <c r="AB1027" s="1714"/>
      <c r="AC1027" s="1714"/>
      <c r="AD1027" s="1714"/>
      <c r="AE1027" s="1715"/>
      <c r="AF1027" s="1790">
        <f>+'Sources and Uses Budget'!C85</f>
        <v>652544</v>
      </c>
      <c r="AG1027" s="1790"/>
      <c r="AH1027" s="1790"/>
      <c r="AI1027" s="1790"/>
      <c r="AJ1027" s="1750"/>
      <c r="AK1027" s="1751"/>
      <c r="AL1027" s="1751"/>
      <c r="AM1027" s="1751"/>
      <c r="AN1027" s="1751"/>
      <c r="AO1027" s="1751"/>
      <c r="AP1027" s="1751"/>
      <c r="AQ1027" s="1752"/>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62"/>
      <c r="E1028" s="1763"/>
      <c r="F1028" s="1763"/>
      <c r="G1028" s="1763"/>
      <c r="H1028" s="1763"/>
      <c r="I1028" s="1763"/>
      <c r="J1028" s="1763"/>
      <c r="K1028" s="1763"/>
      <c r="L1028" s="1763"/>
      <c r="M1028" s="1763"/>
      <c r="N1028" s="1763"/>
      <c r="O1028" s="1763"/>
      <c r="P1028" s="1763"/>
      <c r="Q1028" s="1763"/>
      <c r="R1028" s="1763"/>
      <c r="S1028" s="1763"/>
      <c r="T1028" s="1763"/>
      <c r="U1028" s="1763"/>
      <c r="V1028" s="1763"/>
      <c r="W1028" s="1763"/>
      <c r="X1028" s="1763"/>
      <c r="Y1028" s="1763"/>
      <c r="Z1028" s="1763"/>
      <c r="AA1028" s="1763"/>
      <c r="AB1028" s="1763"/>
      <c r="AC1028" s="1763"/>
      <c r="AD1028" s="1763"/>
      <c r="AE1028" s="1764"/>
      <c r="AF1028" s="1790"/>
      <c r="AG1028" s="1790"/>
      <c r="AH1028" s="1790"/>
      <c r="AI1028" s="1790"/>
      <c r="AJ1028" s="1753"/>
      <c r="AK1028" s="1754"/>
      <c r="AL1028" s="1754"/>
      <c r="AM1028" s="1754"/>
      <c r="AN1028" s="1754"/>
      <c r="AO1028" s="1754"/>
      <c r="AP1028" s="1754"/>
      <c r="AQ1028" s="1755"/>
      <c r="AR1028" s="68"/>
      <c r="AS1028" s="68"/>
      <c r="AT1028" s="68"/>
      <c r="AU1028" s="68"/>
      <c r="AV1028" s="68"/>
      <c r="AW1028" s="68"/>
      <c r="AX1028" s="68"/>
      <c r="AY1028" s="68"/>
    </row>
    <row r="1029" spans="1:57" ht="12.9" customHeight="1">
      <c r="A1029" s="14"/>
      <c r="B1029" s="79"/>
      <c r="C1029" s="80" t="s">
        <v>234</v>
      </c>
      <c r="D1029" s="1756" t="s">
        <v>1296</v>
      </c>
      <c r="E1029" s="1757"/>
      <c r="F1029" s="1757"/>
      <c r="G1029" s="1757"/>
      <c r="H1029" s="1757"/>
      <c r="I1029" s="1757"/>
      <c r="J1029" s="1757"/>
      <c r="K1029" s="1757"/>
      <c r="L1029" s="1757"/>
      <c r="M1029" s="1757"/>
      <c r="N1029" s="1757"/>
      <c r="O1029" s="1757"/>
      <c r="P1029" s="1757"/>
      <c r="Q1029" s="1757"/>
      <c r="R1029" s="1757"/>
      <c r="S1029" s="1757"/>
      <c r="T1029" s="1757"/>
      <c r="U1029" s="1757"/>
      <c r="V1029" s="1757"/>
      <c r="W1029" s="1757"/>
      <c r="X1029" s="1757"/>
      <c r="Y1029" s="1757"/>
      <c r="Z1029" s="1757"/>
      <c r="AA1029" s="1757"/>
      <c r="AB1029" s="1757"/>
      <c r="AC1029" s="1757"/>
      <c r="AD1029" s="1757"/>
      <c r="AE1029" s="1758"/>
      <c r="AF1029" s="79"/>
      <c r="AG1029" s="1770" t="s">
        <v>546</v>
      </c>
      <c r="AH1029" s="1771"/>
      <c r="AI1029" s="87"/>
      <c r="AJ1029" s="1747">
        <f>ROUND(IF(AG1029="yes",(AJ992*0.1),0),0)</f>
        <v>2224693</v>
      </c>
      <c r="AK1029" s="1748"/>
      <c r="AL1029" s="1748"/>
      <c r="AM1029" s="1748"/>
      <c r="AN1029" s="1748"/>
      <c r="AO1029" s="1748"/>
      <c r="AP1029" s="1748"/>
      <c r="AQ1029" s="1749"/>
      <c r="AR1029" s="68"/>
      <c r="AS1029" s="68"/>
      <c r="AT1029" s="68"/>
      <c r="AU1029" s="68"/>
      <c r="AV1029" s="68"/>
      <c r="AW1029" s="68"/>
      <c r="AX1029" s="68"/>
      <c r="AY1029" s="68"/>
    </row>
    <row r="1030" spans="1:57" ht="12.9" customHeight="1">
      <c r="A1030" s="14"/>
      <c r="B1030" s="73"/>
      <c r="C1030" s="74"/>
      <c r="D1030" s="1713" t="s">
        <v>1297</v>
      </c>
      <c r="E1030" s="1714"/>
      <c r="F1030" s="1714"/>
      <c r="G1030" s="1714"/>
      <c r="H1030" s="1714"/>
      <c r="I1030" s="1714"/>
      <c r="J1030" s="1714"/>
      <c r="K1030" s="1714"/>
      <c r="L1030" s="1714"/>
      <c r="M1030" s="1714"/>
      <c r="N1030" s="1714"/>
      <c r="O1030" s="1714"/>
      <c r="P1030" s="1714"/>
      <c r="Q1030" s="1714"/>
      <c r="R1030" s="1714"/>
      <c r="S1030" s="1714"/>
      <c r="T1030" s="1714"/>
      <c r="U1030" s="1714"/>
      <c r="V1030" s="1714"/>
      <c r="W1030" s="1714"/>
      <c r="X1030" s="1714"/>
      <c r="Y1030" s="1714"/>
      <c r="Z1030" s="1714"/>
      <c r="AA1030" s="1714"/>
      <c r="AB1030" s="1714"/>
      <c r="AC1030" s="1714"/>
      <c r="AD1030" s="1714"/>
      <c r="AE1030" s="1715"/>
      <c r="AF1030" s="73"/>
      <c r="AG1030" s="14"/>
      <c r="AH1030" s="14"/>
      <c r="AI1030" s="83"/>
      <c r="AJ1030" s="1750"/>
      <c r="AK1030" s="1751"/>
      <c r="AL1030" s="1751"/>
      <c r="AM1030" s="1751"/>
      <c r="AN1030" s="1751"/>
      <c r="AO1030" s="1751"/>
      <c r="AP1030" s="1751"/>
      <c r="AQ1030" s="1752"/>
      <c r="AR1030" s="68"/>
      <c r="AS1030" s="68"/>
      <c r="AT1030" s="68"/>
      <c r="AU1030" s="68"/>
      <c r="AV1030" s="68"/>
      <c r="AW1030" s="68"/>
      <c r="AX1030" s="68"/>
      <c r="AY1030" s="68"/>
    </row>
    <row r="1031" spans="1:57" ht="12.9" customHeight="1">
      <c r="A1031" s="14"/>
      <c r="B1031" s="77"/>
      <c r="C1031" s="74"/>
      <c r="D1031" s="1762"/>
      <c r="E1031" s="1763"/>
      <c r="F1031" s="1763"/>
      <c r="G1031" s="1763"/>
      <c r="H1031" s="1763"/>
      <c r="I1031" s="1763"/>
      <c r="J1031" s="1763"/>
      <c r="K1031" s="1763"/>
      <c r="L1031" s="1763"/>
      <c r="M1031" s="1763"/>
      <c r="N1031" s="1763"/>
      <c r="O1031" s="1763"/>
      <c r="P1031" s="1763"/>
      <c r="Q1031" s="1763"/>
      <c r="R1031" s="1763"/>
      <c r="S1031" s="1763"/>
      <c r="T1031" s="1763"/>
      <c r="U1031" s="1763"/>
      <c r="V1031" s="1763"/>
      <c r="W1031" s="1763"/>
      <c r="X1031" s="1763"/>
      <c r="Y1031" s="1763"/>
      <c r="Z1031" s="1763"/>
      <c r="AA1031" s="1763"/>
      <c r="AB1031" s="1763"/>
      <c r="AC1031" s="1763"/>
      <c r="AD1031" s="1763"/>
      <c r="AE1031" s="1764"/>
      <c r="AF1031" s="73"/>
      <c r="AG1031" s="14"/>
      <c r="AH1031" s="14"/>
      <c r="AI1031" s="83"/>
      <c r="AJ1031" s="1753"/>
      <c r="AK1031" s="1754"/>
      <c r="AL1031" s="1754"/>
      <c r="AM1031" s="1754"/>
      <c r="AN1031" s="1754"/>
      <c r="AO1031" s="1754"/>
      <c r="AP1031" s="1754"/>
      <c r="AQ1031" s="1755"/>
      <c r="AR1031" s="68"/>
      <c r="AS1031" s="68"/>
      <c r="AT1031" s="68"/>
      <c r="AU1031" s="68"/>
      <c r="AV1031" s="68"/>
      <c r="AW1031" s="68"/>
      <c r="AX1031" s="68"/>
      <c r="AY1031" s="68"/>
    </row>
    <row r="1032" spans="1:57" ht="12.9" customHeight="1">
      <c r="A1032" s="14"/>
      <c r="B1032" s="73"/>
      <c r="C1032" s="339" t="s">
        <v>688</v>
      </c>
      <c r="D1032" s="1781" t="s">
        <v>1687</v>
      </c>
      <c r="E1032" s="1782"/>
      <c r="F1032" s="1782"/>
      <c r="G1032" s="1782"/>
      <c r="H1032" s="1782"/>
      <c r="I1032" s="1782"/>
      <c r="J1032" s="1782"/>
      <c r="K1032" s="1782"/>
      <c r="L1032" s="1782"/>
      <c r="M1032" s="1782"/>
      <c r="N1032" s="1782"/>
      <c r="O1032" s="1782"/>
      <c r="P1032" s="1782"/>
      <c r="Q1032" s="1782"/>
      <c r="R1032" s="1782"/>
      <c r="S1032" s="1782"/>
      <c r="T1032" s="1782"/>
      <c r="U1032" s="1782"/>
      <c r="V1032" s="1782"/>
      <c r="W1032" s="1782"/>
      <c r="X1032" s="1782"/>
      <c r="Y1032" s="1782"/>
      <c r="Z1032" s="1782"/>
      <c r="AA1032" s="1782"/>
      <c r="AB1032" s="1782"/>
      <c r="AC1032" s="1782"/>
      <c r="AD1032" s="1782"/>
      <c r="AE1032" s="1783"/>
      <c r="AF1032" s="79"/>
      <c r="AG1032" s="1770" t="s">
        <v>670</v>
      </c>
      <c r="AH1032" s="1771"/>
      <c r="AI1032" s="87"/>
      <c r="AJ1032" s="1747">
        <f>ROUND(IF(AG1032="yes",(AJ992*0.15),0),0)</f>
        <v>0</v>
      </c>
      <c r="AK1032" s="1748"/>
      <c r="AL1032" s="1748"/>
      <c r="AM1032" s="1748"/>
      <c r="AN1032" s="1748"/>
      <c r="AO1032" s="1748"/>
      <c r="AP1032" s="1748"/>
      <c r="AQ1032" s="1749"/>
      <c r="AR1032" s="68"/>
      <c r="AS1032" s="68"/>
      <c r="AT1032" s="68"/>
      <c r="AU1032" s="68"/>
      <c r="AV1032" s="68"/>
      <c r="AW1032" s="68"/>
      <c r="AX1032" s="68"/>
      <c r="AY1032" s="68"/>
    </row>
    <row r="1033" spans="1:57" ht="12.9" customHeight="1">
      <c r="A1033" s="14"/>
      <c r="B1033" s="73"/>
      <c r="C1033" s="74"/>
      <c r="D1033" s="1813"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4"/>
      <c r="AF1033" s="915"/>
      <c r="AG1033" s="916"/>
      <c r="AH1033" s="916"/>
      <c r="AI1033" s="917"/>
      <c r="AJ1033" s="1750"/>
      <c r="AK1033" s="1751"/>
      <c r="AL1033" s="1751"/>
      <c r="AM1033" s="1751"/>
      <c r="AN1033" s="1751"/>
      <c r="AO1033" s="1751"/>
      <c r="AP1033" s="1751"/>
      <c r="AQ1033" s="1752"/>
      <c r="AR1033" s="68"/>
      <c r="AS1033" s="68"/>
      <c r="AT1033" s="68"/>
      <c r="AU1033" s="68"/>
      <c r="AV1033" s="68"/>
      <c r="AW1033" s="68"/>
      <c r="AX1033" s="68"/>
      <c r="AY1033" s="68"/>
    </row>
    <row r="1034" spans="1:57" ht="12.9" customHeight="1">
      <c r="A1034" s="14"/>
      <c r="B1034" s="73"/>
      <c r="C1034" s="74"/>
      <c r="D1034" s="181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4"/>
      <c r="AF1034" s="915"/>
      <c r="AG1034" s="916"/>
      <c r="AH1034" s="916"/>
      <c r="AI1034" s="917"/>
      <c r="AJ1034" s="1750"/>
      <c r="AK1034" s="1751"/>
      <c r="AL1034" s="1751"/>
      <c r="AM1034" s="1751"/>
      <c r="AN1034" s="1751"/>
      <c r="AO1034" s="1751"/>
      <c r="AP1034" s="1751"/>
      <c r="AQ1034" s="1752"/>
      <c r="AR1034" s="68"/>
      <c r="AS1034" s="68"/>
      <c r="AT1034" s="68"/>
      <c r="AU1034" s="68"/>
      <c r="AV1034" s="68"/>
      <c r="AW1034" s="68"/>
      <c r="AX1034" s="68"/>
      <c r="AY1034" s="68"/>
    </row>
    <row r="1035" spans="1:57" ht="12.9" customHeight="1">
      <c r="A1035" s="14"/>
      <c r="B1035" s="73"/>
      <c r="C1035" s="74"/>
      <c r="D1035" s="1815"/>
      <c r="E1035" s="1816"/>
      <c r="F1035" s="1816"/>
      <c r="G1035" s="1816"/>
      <c r="H1035" s="1816"/>
      <c r="I1035" s="1816"/>
      <c r="J1035" s="1816"/>
      <c r="K1035" s="1816"/>
      <c r="L1035" s="1816"/>
      <c r="M1035" s="1816"/>
      <c r="N1035" s="1816"/>
      <c r="O1035" s="1816"/>
      <c r="P1035" s="1816"/>
      <c r="Q1035" s="1816"/>
      <c r="R1035" s="1816"/>
      <c r="S1035" s="1816"/>
      <c r="T1035" s="1816"/>
      <c r="U1035" s="1816"/>
      <c r="V1035" s="1816"/>
      <c r="W1035" s="1816"/>
      <c r="X1035" s="1816"/>
      <c r="Y1035" s="1816"/>
      <c r="Z1035" s="1816"/>
      <c r="AA1035" s="1816"/>
      <c r="AB1035" s="1816"/>
      <c r="AC1035" s="1816"/>
      <c r="AD1035" s="1816"/>
      <c r="AE1035" s="1817"/>
      <c r="AF1035" s="918"/>
      <c r="AG1035" s="919"/>
      <c r="AH1035" s="919"/>
      <c r="AI1035" s="920"/>
      <c r="AJ1035" s="1753"/>
      <c r="AK1035" s="1754"/>
      <c r="AL1035" s="1754"/>
      <c r="AM1035" s="1754"/>
      <c r="AN1035" s="1754"/>
      <c r="AO1035" s="1754"/>
      <c r="AP1035" s="1754"/>
      <c r="AQ1035" s="1755"/>
      <c r="AR1035" s="68"/>
      <c r="AS1035" s="68"/>
      <c r="AT1035" s="68"/>
      <c r="AU1035" s="68"/>
      <c r="AV1035" s="68"/>
      <c r="AW1035" s="68"/>
      <c r="AX1035" s="68"/>
      <c r="AY1035" s="68"/>
    </row>
    <row r="1036" spans="1:57" ht="12.9" customHeight="1">
      <c r="A1036" s="14"/>
      <c r="B1036" s="73"/>
      <c r="C1036" s="339" t="s">
        <v>688</v>
      </c>
      <c r="D1036" s="1756" t="s">
        <v>1689</v>
      </c>
      <c r="E1036" s="1757"/>
      <c r="F1036" s="1757"/>
      <c r="G1036" s="1757"/>
      <c r="H1036" s="1757"/>
      <c r="I1036" s="1757"/>
      <c r="J1036" s="1757"/>
      <c r="K1036" s="1757"/>
      <c r="L1036" s="1757"/>
      <c r="M1036" s="1757"/>
      <c r="N1036" s="1757"/>
      <c r="O1036" s="1757"/>
      <c r="P1036" s="1757"/>
      <c r="Q1036" s="1757"/>
      <c r="R1036" s="1757"/>
      <c r="S1036" s="1757"/>
      <c r="T1036" s="1757"/>
      <c r="U1036" s="1757"/>
      <c r="V1036" s="1757"/>
      <c r="W1036" s="1757"/>
      <c r="X1036" s="1757"/>
      <c r="Y1036" s="1757"/>
      <c r="Z1036" s="1757"/>
      <c r="AA1036" s="1757"/>
      <c r="AB1036" s="1757"/>
      <c r="AC1036" s="1757"/>
      <c r="AD1036" s="1757"/>
      <c r="AE1036" s="1758"/>
      <c r="AF1036" s="73"/>
      <c r="AG1036" s="1772" t="s">
        <v>670</v>
      </c>
      <c r="AH1036" s="1773"/>
      <c r="AI1036" s="83"/>
      <c r="AJ1036" s="1747">
        <f>ROUND(IF(AND(AG1036="yes",AJ1032=0),(AJ992*0.1),0),0)</f>
        <v>0</v>
      </c>
      <c r="AK1036" s="1748"/>
      <c r="AL1036" s="1748"/>
      <c r="AM1036" s="1748"/>
      <c r="AN1036" s="1748"/>
      <c r="AO1036" s="1748"/>
      <c r="AP1036" s="1748"/>
      <c r="AQ1036" s="1749"/>
      <c r="AR1036" s="68"/>
      <c r="AS1036" s="68"/>
      <c r="AT1036" s="68"/>
      <c r="AU1036" s="68"/>
      <c r="AV1036" s="68"/>
      <c r="AW1036" s="68"/>
      <c r="AX1036" s="68"/>
      <c r="AY1036" s="68"/>
    </row>
    <row r="1037" spans="1:57" ht="12.9" customHeight="1">
      <c r="A1037" s="14"/>
      <c r="B1037" s="73"/>
      <c r="C1037" s="74"/>
      <c r="D1037" s="1813"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4"/>
      <c r="AF1037" s="73"/>
      <c r="AG1037" s="14"/>
      <c r="AH1037" s="14"/>
      <c r="AI1037" s="83"/>
      <c r="AJ1037" s="1750"/>
      <c r="AK1037" s="1751"/>
      <c r="AL1037" s="1751"/>
      <c r="AM1037" s="1751"/>
      <c r="AN1037" s="1751"/>
      <c r="AO1037" s="1751"/>
      <c r="AP1037" s="1751"/>
      <c r="AQ1037" s="1752"/>
      <c r="AR1037" s="68"/>
      <c r="AS1037" s="68"/>
      <c r="AT1037" s="68"/>
      <c r="AU1037" s="68"/>
      <c r="AV1037" s="68"/>
      <c r="AW1037" s="68"/>
      <c r="AX1037" s="68"/>
      <c r="AY1037" s="68"/>
    </row>
    <row r="1038" spans="1:57" ht="12.9" customHeight="1">
      <c r="A1038" s="14"/>
      <c r="B1038" s="73"/>
      <c r="C1038" s="74"/>
      <c r="D1038" s="181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4"/>
      <c r="AF1038" s="73"/>
      <c r="AG1038" s="14"/>
      <c r="AH1038" s="14"/>
      <c r="AI1038" s="83"/>
      <c r="AJ1038" s="1750"/>
      <c r="AK1038" s="1751"/>
      <c r="AL1038" s="1751"/>
      <c r="AM1038" s="1751"/>
      <c r="AN1038" s="1751"/>
      <c r="AO1038" s="1751"/>
      <c r="AP1038" s="1751"/>
      <c r="AQ1038" s="175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 customHeight="1">
      <c r="A1039" s="14"/>
      <c r="B1039" s="73"/>
      <c r="C1039" s="74"/>
      <c r="D1039" s="181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4"/>
      <c r="AF1039" s="73"/>
      <c r="AG1039" s="14"/>
      <c r="AH1039" s="14"/>
      <c r="AI1039" s="83"/>
      <c r="AJ1039" s="1750"/>
      <c r="AK1039" s="1751"/>
      <c r="AL1039" s="1751"/>
      <c r="AM1039" s="1751"/>
      <c r="AN1039" s="1751"/>
      <c r="AO1039" s="1751"/>
      <c r="AP1039" s="1751"/>
      <c r="AQ1039" s="1752"/>
      <c r="AR1039" s="68"/>
      <c r="AS1039" s="68"/>
      <c r="AT1039" s="68"/>
      <c r="AU1039" s="68"/>
      <c r="AV1039" s="68"/>
      <c r="AW1039" s="68"/>
      <c r="AX1039" s="68"/>
      <c r="AY1039" s="68"/>
      <c r="BA1039">
        <f>IFERROR((($CI$753+$CM$753)/$AG$440),0)</f>
        <v>0.37777777777777777</v>
      </c>
      <c r="BB1039" s="3" t="s">
        <v>2493</v>
      </c>
    </row>
    <row r="1040" spans="1:57" ht="12.9" customHeight="1">
      <c r="A1040" s="14"/>
      <c r="B1040" s="73"/>
      <c r="C1040" s="74"/>
      <c r="D1040" s="1815"/>
      <c r="E1040" s="1816"/>
      <c r="F1040" s="1816"/>
      <c r="G1040" s="1816"/>
      <c r="H1040" s="1816"/>
      <c r="I1040" s="1816"/>
      <c r="J1040" s="1816"/>
      <c r="K1040" s="1816"/>
      <c r="L1040" s="1816"/>
      <c r="M1040" s="1816"/>
      <c r="N1040" s="1816"/>
      <c r="O1040" s="1816"/>
      <c r="P1040" s="1816"/>
      <c r="Q1040" s="1816"/>
      <c r="R1040" s="1816"/>
      <c r="S1040" s="1816"/>
      <c r="T1040" s="1816"/>
      <c r="U1040" s="1816"/>
      <c r="V1040" s="1816"/>
      <c r="W1040" s="1816"/>
      <c r="X1040" s="1816"/>
      <c r="Y1040" s="1816"/>
      <c r="Z1040" s="1816"/>
      <c r="AA1040" s="1816"/>
      <c r="AB1040" s="1816"/>
      <c r="AC1040" s="1816"/>
      <c r="AD1040" s="1816"/>
      <c r="AE1040" s="1817"/>
      <c r="AF1040" s="73"/>
      <c r="AG1040" s="14"/>
      <c r="AH1040" s="14"/>
      <c r="AI1040" s="83"/>
      <c r="AJ1040" s="1750"/>
      <c r="AK1040" s="1751"/>
      <c r="AL1040" s="1751"/>
      <c r="AM1040" s="1751"/>
      <c r="AN1040" s="1751"/>
      <c r="AO1040" s="1751"/>
      <c r="AP1040" s="1751"/>
      <c r="AQ1040" s="1752"/>
      <c r="AR1040" s="68"/>
      <c r="AS1040" s="68"/>
      <c r="AT1040" s="68"/>
      <c r="AU1040" s="68"/>
      <c r="AV1040" s="68"/>
      <c r="AW1040" s="68"/>
      <c r="AX1040" s="68"/>
      <c r="AY1040" s="68"/>
      <c r="BA1040" t="b">
        <f>'Points System'!AJ164="Yes"</f>
        <v>0</v>
      </c>
      <c r="BB1040" s="3" t="s">
        <v>2490</v>
      </c>
    </row>
    <row r="1041" spans="1:56" ht="12.9" customHeight="1">
      <c r="A1041" s="14"/>
      <c r="B1041" s="79"/>
      <c r="C1041" s="131" t="s">
        <v>1011</v>
      </c>
      <c r="D1041" s="1781" t="s">
        <v>1298</v>
      </c>
      <c r="E1041" s="1782"/>
      <c r="F1041" s="1782"/>
      <c r="G1041" s="1782"/>
      <c r="H1041" s="1782"/>
      <c r="I1041" s="1782"/>
      <c r="J1041" s="1782"/>
      <c r="K1041" s="1782"/>
      <c r="L1041" s="1782"/>
      <c r="M1041" s="1782"/>
      <c r="N1041" s="1782"/>
      <c r="O1041" s="1782"/>
      <c r="P1041" s="1782"/>
      <c r="Q1041" s="1782"/>
      <c r="R1041" s="1782"/>
      <c r="S1041" s="1782"/>
      <c r="T1041" s="1782"/>
      <c r="U1041" s="1782"/>
      <c r="V1041" s="1782"/>
      <c r="W1041" s="1782"/>
      <c r="X1041" s="1782"/>
      <c r="Y1041" s="1782"/>
      <c r="Z1041" s="1782"/>
      <c r="AA1041" s="1782"/>
      <c r="AB1041" s="1782"/>
      <c r="AC1041" s="1782"/>
      <c r="AD1041" s="1782"/>
      <c r="AE1041" s="1783"/>
      <c r="AF1041" s="79"/>
      <c r="AG1041" s="1770" t="s">
        <v>670</v>
      </c>
      <c r="AH1041" s="1771"/>
      <c r="AI1041" s="87"/>
      <c r="AJ1041" s="1747">
        <f>ROUND(IF(AG1041="yes",(AJ992*0.1),0),0)</f>
        <v>0</v>
      </c>
      <c r="AK1041" s="1748"/>
      <c r="AL1041" s="1748"/>
      <c r="AM1041" s="1748"/>
      <c r="AN1041" s="1748"/>
      <c r="AO1041" s="1748"/>
      <c r="AP1041" s="1748"/>
      <c r="AQ1041" s="1749"/>
      <c r="AR1041" s="68"/>
      <c r="AS1041" s="68"/>
      <c r="AT1041" s="68"/>
      <c r="AU1041" s="68"/>
      <c r="AV1041" s="68"/>
      <c r="AW1041" s="68"/>
      <c r="AX1041" s="68"/>
      <c r="AY1041" s="68"/>
      <c r="BA1041">
        <f>Q212</f>
        <v>11</v>
      </c>
      <c r="BB1041" s="3" t="s">
        <v>2491</v>
      </c>
    </row>
    <row r="1042" spans="1:56" ht="12.9" customHeight="1">
      <c r="A1042" s="14"/>
      <c r="B1042" s="73"/>
      <c r="C1042" s="74"/>
      <c r="D1042" s="1713" t="s">
        <v>2145</v>
      </c>
      <c r="E1042" s="1714"/>
      <c r="F1042" s="1714"/>
      <c r="G1042" s="1714"/>
      <c r="H1042" s="1714"/>
      <c r="I1042" s="1714"/>
      <c r="J1042" s="1714"/>
      <c r="K1042" s="1714"/>
      <c r="L1042" s="1714"/>
      <c r="M1042" s="1714"/>
      <c r="N1042" s="1714"/>
      <c r="O1042" s="1714"/>
      <c r="P1042" s="1714"/>
      <c r="Q1042" s="1714"/>
      <c r="R1042" s="1714"/>
      <c r="S1042" s="1714"/>
      <c r="T1042" s="1714"/>
      <c r="U1042" s="1714"/>
      <c r="V1042" s="1714"/>
      <c r="W1042" s="1714"/>
      <c r="X1042" s="1714"/>
      <c r="Y1042" s="1714"/>
      <c r="Z1042" s="1714"/>
      <c r="AA1042" s="1714"/>
      <c r="AB1042" s="1714"/>
      <c r="AC1042" s="1714"/>
      <c r="AD1042" s="1714"/>
      <c r="AE1042" s="1715"/>
      <c r="AF1042" s="73"/>
      <c r="AG1042" s="14"/>
      <c r="AH1042" s="14"/>
      <c r="AI1042" s="83"/>
      <c r="AJ1042" s="1750"/>
      <c r="AK1042" s="1751"/>
      <c r="AL1042" s="1751"/>
      <c r="AM1042" s="1751"/>
      <c r="AN1042" s="1751"/>
      <c r="AO1042" s="1751"/>
      <c r="AP1042" s="1751"/>
      <c r="AQ1042" s="1752"/>
      <c r="AR1042" s="68"/>
      <c r="AS1042" s="68"/>
      <c r="AT1042" s="68"/>
      <c r="AU1042" s="68"/>
      <c r="AV1042" s="68"/>
      <c r="AW1042" s="68"/>
      <c r="AX1042" s="68"/>
      <c r="AY1042" s="68"/>
      <c r="BA1042" s="1184">
        <f>T212</f>
        <v>0.24444444444444444</v>
      </c>
      <c r="BB1042" s="3" t="s">
        <v>2492</v>
      </c>
    </row>
    <row r="1043" spans="1:56" ht="12.9" customHeight="1">
      <c r="A1043" s="14"/>
      <c r="B1043" s="73"/>
      <c r="C1043" s="74"/>
      <c r="D1043" s="1713"/>
      <c r="E1043" s="1714"/>
      <c r="F1043" s="1714"/>
      <c r="G1043" s="1714"/>
      <c r="H1043" s="1714"/>
      <c r="I1043" s="1714"/>
      <c r="J1043" s="1714"/>
      <c r="K1043" s="1714"/>
      <c r="L1043" s="1714"/>
      <c r="M1043" s="1714"/>
      <c r="N1043" s="1714"/>
      <c r="O1043" s="1714"/>
      <c r="P1043" s="1714"/>
      <c r="Q1043" s="1714"/>
      <c r="R1043" s="1714"/>
      <c r="S1043" s="1714"/>
      <c r="T1043" s="1714"/>
      <c r="U1043" s="1714"/>
      <c r="V1043" s="1714"/>
      <c r="W1043" s="1714"/>
      <c r="X1043" s="1714"/>
      <c r="Y1043" s="1714"/>
      <c r="Z1043" s="1714"/>
      <c r="AA1043" s="1714"/>
      <c r="AB1043" s="1714"/>
      <c r="AC1043" s="1714"/>
      <c r="AD1043" s="1714"/>
      <c r="AE1043" s="1715"/>
      <c r="AF1043" s="73"/>
      <c r="AG1043" s="14"/>
      <c r="AH1043" s="14"/>
      <c r="AI1043" s="83"/>
      <c r="AJ1043" s="1750"/>
      <c r="AK1043" s="1751"/>
      <c r="AL1043" s="1751"/>
      <c r="AM1043" s="1751"/>
      <c r="AN1043" s="1751"/>
      <c r="AO1043" s="1751"/>
      <c r="AP1043" s="1751"/>
      <c r="AQ1043" s="1752"/>
      <c r="AR1043" s="68"/>
      <c r="AS1043" s="68"/>
      <c r="AT1043" s="68"/>
      <c r="AU1043" s="68"/>
      <c r="AV1043" s="68"/>
      <c r="AW1043" s="68"/>
      <c r="AX1043" s="68"/>
      <c r="AY1043" s="68"/>
    </row>
    <row r="1044" spans="1:56" ht="12.9" customHeight="1">
      <c r="A1044" s="14"/>
      <c r="B1044" s="73"/>
      <c r="C1044" s="74"/>
      <c r="D1044" s="1762"/>
      <c r="E1044" s="1763"/>
      <c r="F1044" s="1763"/>
      <c r="G1044" s="1763"/>
      <c r="H1044" s="1763"/>
      <c r="I1044" s="1763"/>
      <c r="J1044" s="1763"/>
      <c r="K1044" s="1763"/>
      <c r="L1044" s="1763"/>
      <c r="M1044" s="1763"/>
      <c r="N1044" s="1763"/>
      <c r="O1044" s="1763"/>
      <c r="P1044" s="1763"/>
      <c r="Q1044" s="1763"/>
      <c r="R1044" s="1763"/>
      <c r="S1044" s="1763"/>
      <c r="T1044" s="1763"/>
      <c r="U1044" s="1763"/>
      <c r="V1044" s="1763"/>
      <c r="W1044" s="1763"/>
      <c r="X1044" s="1763"/>
      <c r="Y1044" s="1763"/>
      <c r="Z1044" s="1763"/>
      <c r="AA1044" s="1763"/>
      <c r="AB1044" s="1763"/>
      <c r="AC1044" s="1763"/>
      <c r="AD1044" s="1763"/>
      <c r="AE1044" s="1764"/>
      <c r="AF1044" s="73"/>
      <c r="AG1044" s="14"/>
      <c r="AH1044" s="14"/>
      <c r="AI1044" s="83"/>
      <c r="AJ1044" s="1753"/>
      <c r="AK1044" s="1754"/>
      <c r="AL1044" s="1754"/>
      <c r="AM1044" s="1754"/>
      <c r="AN1044" s="1754"/>
      <c r="AO1044" s="1754"/>
      <c r="AP1044" s="1754"/>
      <c r="AQ1044" s="1755"/>
      <c r="AR1044" s="68"/>
      <c r="AS1044" s="68"/>
      <c r="AT1044" s="68"/>
      <c r="AU1044" s="68"/>
      <c r="AV1044" s="68"/>
      <c r="AW1044" s="68"/>
      <c r="AX1044" s="68"/>
      <c r="AY1044" s="68"/>
    </row>
    <row r="1045" spans="1:56" ht="12.9" customHeight="1">
      <c r="A1045" s="14"/>
      <c r="B1045" s="79"/>
      <c r="C1045" s="131" t="s">
        <v>1685</v>
      </c>
      <c r="D1045" s="1756" t="s">
        <v>1865</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9"/>
      <c r="AG1045" s="1768" t="str">
        <f>IF(X1048&gt;0,"Yes","No")</f>
        <v>Yes</v>
      </c>
      <c r="AH1045" s="1769"/>
      <c r="AI1045" s="87"/>
      <c r="AJ1045" s="1747">
        <f>IF((X1048=0),0,AY1005*AJ992)</f>
        <v>5784200.7599999998</v>
      </c>
      <c r="AK1045" s="1748"/>
      <c r="AL1045" s="1748"/>
      <c r="AM1045" s="1748"/>
      <c r="AN1045" s="1748"/>
      <c r="AO1045" s="1748"/>
      <c r="AP1045" s="1748"/>
      <c r="AQ1045" s="174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3152598</v>
      </c>
      <c r="BA1045" s="3" t="s">
        <v>2478</v>
      </c>
      <c r="BB1045" s="3"/>
      <c r="BC1045" s="3"/>
      <c r="BD1045" s="3"/>
    </row>
    <row r="1046" spans="1:56" ht="12.9" customHeight="1">
      <c r="A1046" s="14"/>
      <c r="B1046" s="73"/>
      <c r="C1046" s="442"/>
      <c r="D1046" s="1713" t="s">
        <v>1300</v>
      </c>
      <c r="E1046" s="1714"/>
      <c r="F1046" s="1714"/>
      <c r="G1046" s="1714"/>
      <c r="H1046" s="1714"/>
      <c r="I1046" s="1714"/>
      <c r="J1046" s="1714"/>
      <c r="K1046" s="1714"/>
      <c r="L1046" s="1714"/>
      <c r="M1046" s="1714"/>
      <c r="N1046" s="1714"/>
      <c r="O1046" s="1714"/>
      <c r="P1046" s="1714"/>
      <c r="Q1046" s="1714"/>
      <c r="R1046" s="1714"/>
      <c r="S1046" s="1714"/>
      <c r="T1046" s="1714"/>
      <c r="U1046" s="1714"/>
      <c r="V1046" s="1714"/>
      <c r="W1046" s="1714"/>
      <c r="X1046" s="1714"/>
      <c r="Y1046" s="1714"/>
      <c r="Z1046" s="1714"/>
      <c r="AA1046" s="1714"/>
      <c r="AB1046" s="1714"/>
      <c r="AC1046" s="1714"/>
      <c r="AD1046" s="1714"/>
      <c r="AE1046" s="1715"/>
      <c r="AF1046" s="73"/>
      <c r="AG1046" s="443"/>
      <c r="AH1046" s="443"/>
      <c r="AI1046" s="83"/>
      <c r="AJ1046" s="1750"/>
      <c r="AK1046" s="1751"/>
      <c r="AL1046" s="1751"/>
      <c r="AM1046" s="1751"/>
      <c r="AN1046" s="1751"/>
      <c r="AO1046" s="1751"/>
      <c r="AP1046" s="1751"/>
      <c r="AQ1046" s="1752"/>
      <c r="AR1046" s="68"/>
      <c r="AS1046" s="68"/>
      <c r="AT1046" s="68"/>
      <c r="AU1046" s="13"/>
      <c r="AV1046" s="68"/>
      <c r="AW1046" s="68"/>
      <c r="AX1046" s="68"/>
      <c r="AY1046" s="68"/>
      <c r="AZ1046" s="962">
        <f>'Sources and Uses Budget'!S97*BA1046</f>
        <v>4842991.6499999994</v>
      </c>
      <c r="BA1046" s="1182">
        <f>IF(BA1040,20%,15%)</f>
        <v>0.15</v>
      </c>
      <c r="BB1046" s="3" t="s">
        <v>2479</v>
      </c>
      <c r="BC1046" s="3" t="s">
        <v>2480</v>
      </c>
      <c r="BD1046" s="3"/>
    </row>
    <row r="1047" spans="1:56" ht="12.9" customHeight="1">
      <c r="A1047" s="14"/>
      <c r="B1047" s="73"/>
      <c r="C1047" s="442"/>
      <c r="D1047" s="1713"/>
      <c r="E1047" s="1714"/>
      <c r="F1047" s="1714"/>
      <c r="G1047" s="1714"/>
      <c r="H1047" s="1714"/>
      <c r="I1047" s="1714"/>
      <c r="J1047" s="1714"/>
      <c r="K1047" s="1714"/>
      <c r="L1047" s="1714"/>
      <c r="M1047" s="1714"/>
      <c r="N1047" s="1714"/>
      <c r="O1047" s="1714"/>
      <c r="P1047" s="1714"/>
      <c r="Q1047" s="1714"/>
      <c r="R1047" s="1714"/>
      <c r="S1047" s="1714"/>
      <c r="T1047" s="1714"/>
      <c r="U1047" s="1714"/>
      <c r="V1047" s="1714"/>
      <c r="W1047" s="1714"/>
      <c r="X1047" s="1714"/>
      <c r="Y1047" s="1714"/>
      <c r="Z1047" s="1714"/>
      <c r="AA1047" s="1714"/>
      <c r="AB1047" s="1714"/>
      <c r="AC1047" s="1714"/>
      <c r="AD1047" s="1714"/>
      <c r="AE1047" s="1715"/>
      <c r="AF1047" s="73"/>
      <c r="AG1047" s="443"/>
      <c r="AH1047" s="443"/>
      <c r="AI1047" s="83"/>
      <c r="AJ1047" s="1750"/>
      <c r="AK1047" s="1751"/>
      <c r="AL1047" s="1751"/>
      <c r="AM1047" s="1751"/>
      <c r="AN1047" s="1751"/>
      <c r="AO1047" s="1751"/>
      <c r="AP1047" s="1751"/>
      <c r="AQ1047" s="175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 customHeight="1">
      <c r="A1048" s="14"/>
      <c r="B1048" s="77"/>
      <c r="C1048" s="78"/>
      <c r="D1048" s="132" t="s">
        <v>973</v>
      </c>
      <c r="E1048" s="133"/>
      <c r="F1048" s="133"/>
      <c r="G1048" s="133"/>
      <c r="H1048" s="133"/>
      <c r="I1048" s="1804">
        <f>AY1003</f>
        <v>45</v>
      </c>
      <c r="J1048" s="1805"/>
      <c r="K1048" s="7"/>
      <c r="L1048" s="133"/>
      <c r="M1048" s="133"/>
      <c r="N1048" s="133"/>
      <c r="O1048" s="133"/>
      <c r="P1048" s="133"/>
      <c r="Q1048" s="133"/>
      <c r="R1048" s="133"/>
      <c r="S1048" s="133"/>
      <c r="T1048" s="133"/>
      <c r="U1048" s="133"/>
      <c r="V1048" s="134" t="s">
        <v>974</v>
      </c>
      <c r="W1048" s="48"/>
      <c r="X1048" s="1802">
        <f>CI753</f>
        <v>12</v>
      </c>
      <c r="Y1048" s="1803"/>
      <c r="Z1048" s="48"/>
      <c r="AA1048" s="48"/>
      <c r="AB1048" s="48"/>
      <c r="AC1048" s="48"/>
      <c r="AD1048" s="48"/>
      <c r="AE1048" s="49"/>
      <c r="AF1048" s="924"/>
      <c r="AG1048" s="925"/>
      <c r="AH1048" s="925"/>
      <c r="AI1048" s="926"/>
      <c r="AJ1048" s="1753"/>
      <c r="AK1048" s="1754"/>
      <c r="AL1048" s="1754"/>
      <c r="AM1048" s="1754"/>
      <c r="AN1048" s="1754"/>
      <c r="AO1048" s="1754"/>
      <c r="AP1048" s="1754"/>
      <c r="AQ1048" s="175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 customHeight="1">
      <c r="A1049" s="14"/>
      <c r="B1049" s="79"/>
      <c r="C1049" s="131" t="s">
        <v>1686</v>
      </c>
      <c r="D1049" s="1781" t="s">
        <v>2171</v>
      </c>
      <c r="E1049" s="1782"/>
      <c r="F1049" s="1782"/>
      <c r="G1049" s="1782"/>
      <c r="H1049" s="1782"/>
      <c r="I1049" s="1782"/>
      <c r="J1049" s="1782"/>
      <c r="K1049" s="1782"/>
      <c r="L1049" s="1782"/>
      <c r="M1049" s="1782"/>
      <c r="N1049" s="1782"/>
      <c r="O1049" s="1782"/>
      <c r="P1049" s="1782"/>
      <c r="Q1049" s="1782"/>
      <c r="R1049" s="1782"/>
      <c r="S1049" s="1782"/>
      <c r="T1049" s="1782"/>
      <c r="U1049" s="1782"/>
      <c r="V1049" s="1782"/>
      <c r="W1049" s="1782"/>
      <c r="X1049" s="1782"/>
      <c r="Y1049" s="1782"/>
      <c r="Z1049" s="1782"/>
      <c r="AA1049" s="1782"/>
      <c r="AB1049" s="1782"/>
      <c r="AC1049" s="1782"/>
      <c r="AD1049" s="1782"/>
      <c r="AE1049" s="1783"/>
      <c r="AF1049" s="73"/>
      <c r="AG1049" s="1768" t="str">
        <f>IF(X1052&gt;0,"Yes","No")</f>
        <v>Yes</v>
      </c>
      <c r="AH1049" s="1769"/>
      <c r="AI1049" s="83"/>
      <c r="AJ1049" s="1747">
        <f>IF((X1052=0),0,(2*AY1006)*AJ992)</f>
        <v>4894323.72</v>
      </c>
      <c r="AK1049" s="1748"/>
      <c r="AL1049" s="1748"/>
      <c r="AM1049" s="1748"/>
      <c r="AN1049" s="1748"/>
      <c r="AO1049" s="1748"/>
      <c r="AP1049" s="1748"/>
      <c r="AQ1049" s="1749"/>
      <c r="AR1049" s="68"/>
      <c r="AS1049" s="68"/>
      <c r="AT1049" s="68"/>
      <c r="AU1049" s="14"/>
      <c r="AV1049" s="68"/>
      <c r="AW1049" s="68"/>
      <c r="AX1049" s="68"/>
      <c r="AY1049" s="68"/>
      <c r="AZ1049" s="962">
        <f>AZ1045*BA1049</f>
        <v>472889.69999999995</v>
      </c>
      <c r="BA1049" s="1182">
        <v>0.15</v>
      </c>
      <c r="BB1049" s="3" t="s">
        <v>2479</v>
      </c>
      <c r="BC1049" s="3" t="s">
        <v>2483</v>
      </c>
      <c r="BD1049" s="3"/>
    </row>
    <row r="1050" spans="1:56" ht="12.9" customHeight="1">
      <c r="A1050" s="14"/>
      <c r="B1050" s="73"/>
      <c r="C1050" s="442"/>
      <c r="D1050" s="1713" t="s">
        <v>1299</v>
      </c>
      <c r="E1050" s="1714"/>
      <c r="F1050" s="1714"/>
      <c r="G1050" s="1714"/>
      <c r="H1050" s="1714"/>
      <c r="I1050" s="1714"/>
      <c r="J1050" s="1714"/>
      <c r="K1050" s="1714"/>
      <c r="L1050" s="1714"/>
      <c r="M1050" s="1714"/>
      <c r="N1050" s="1714"/>
      <c r="O1050" s="1714"/>
      <c r="P1050" s="1714"/>
      <c r="Q1050" s="1714"/>
      <c r="R1050" s="1714"/>
      <c r="S1050" s="1714"/>
      <c r="T1050" s="1714"/>
      <c r="U1050" s="1714"/>
      <c r="V1050" s="1714"/>
      <c r="W1050" s="1714"/>
      <c r="X1050" s="1714"/>
      <c r="Y1050" s="1714"/>
      <c r="Z1050" s="1714"/>
      <c r="AA1050" s="1714"/>
      <c r="AB1050" s="1714"/>
      <c r="AC1050" s="1714"/>
      <c r="AD1050" s="1714"/>
      <c r="AE1050" s="1715"/>
      <c r="AF1050" s="73"/>
      <c r="AG1050" s="443"/>
      <c r="AH1050" s="443"/>
      <c r="AI1050" s="83"/>
      <c r="AJ1050" s="1750"/>
      <c r="AK1050" s="1751"/>
      <c r="AL1050" s="1751"/>
      <c r="AM1050" s="1751"/>
      <c r="AN1050" s="1751"/>
      <c r="AO1050" s="1751"/>
      <c r="AP1050" s="1751"/>
      <c r="AQ1050" s="1752"/>
      <c r="AR1050" s="68"/>
      <c r="AS1050" s="68"/>
      <c r="AT1050" s="68"/>
      <c r="AU1050" s="68"/>
      <c r="AV1050" s="68"/>
      <c r="AW1050" s="68"/>
      <c r="AX1050" s="68"/>
      <c r="AY1050" s="68"/>
      <c r="AZ1050" s="962"/>
      <c r="BA1050" s="3"/>
      <c r="BB1050" s="3"/>
      <c r="BC1050" s="3"/>
      <c r="BD1050" s="3"/>
    </row>
    <row r="1051" spans="1:56" ht="12.9" customHeight="1">
      <c r="A1051" s="14"/>
      <c r="B1051" s="73"/>
      <c r="C1051" s="83"/>
      <c r="D1051" s="1713"/>
      <c r="E1051" s="1714"/>
      <c r="F1051" s="1714"/>
      <c r="G1051" s="1714"/>
      <c r="H1051" s="1714"/>
      <c r="I1051" s="1714"/>
      <c r="J1051" s="1714"/>
      <c r="K1051" s="1714"/>
      <c r="L1051" s="1714"/>
      <c r="M1051" s="1714"/>
      <c r="N1051" s="1714"/>
      <c r="O1051" s="1714"/>
      <c r="P1051" s="1714"/>
      <c r="Q1051" s="1714"/>
      <c r="R1051" s="1714"/>
      <c r="S1051" s="1714"/>
      <c r="T1051" s="1714"/>
      <c r="U1051" s="1714"/>
      <c r="V1051" s="1714"/>
      <c r="W1051" s="1714"/>
      <c r="X1051" s="1714"/>
      <c r="Y1051" s="1714"/>
      <c r="Z1051" s="1714"/>
      <c r="AA1051" s="1714"/>
      <c r="AB1051" s="1714"/>
      <c r="AC1051" s="1714"/>
      <c r="AD1051" s="1714"/>
      <c r="AE1051" s="1715"/>
      <c r="AF1051" s="921"/>
      <c r="AG1051" s="922"/>
      <c r="AH1051" s="922"/>
      <c r="AI1051" s="923"/>
      <c r="AJ1051" s="1750"/>
      <c r="AK1051" s="1751"/>
      <c r="AL1051" s="1751"/>
      <c r="AM1051" s="1751"/>
      <c r="AN1051" s="1751"/>
      <c r="AO1051" s="1751"/>
      <c r="AP1051" s="1751"/>
      <c r="AQ1051" s="175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804">
        <f>AY1003</f>
        <v>45</v>
      </c>
      <c r="J1052" s="1805"/>
      <c r="K1052" s="14"/>
      <c r="L1052" s="133"/>
      <c r="M1052" s="133"/>
      <c r="N1052" s="133"/>
      <c r="O1052" s="133"/>
      <c r="P1052" s="133"/>
      <c r="Q1052" s="133"/>
      <c r="R1052" s="133"/>
      <c r="S1052" s="133"/>
      <c r="T1052" s="133"/>
      <c r="U1052" s="133"/>
      <c r="V1052" s="134" t="s">
        <v>975</v>
      </c>
      <c r="X1052" s="1802">
        <f>CM753</f>
        <v>5</v>
      </c>
      <c r="Y1052" s="1803"/>
      <c r="AF1052" s="924"/>
      <c r="AG1052" s="925"/>
      <c r="AH1052" s="925"/>
      <c r="AI1052" s="926"/>
      <c r="AJ1052" s="1753"/>
      <c r="AK1052" s="1754"/>
      <c r="AL1052" s="1754"/>
      <c r="AM1052" s="1754"/>
      <c r="AN1052" s="1754"/>
      <c r="AO1052" s="1754"/>
      <c r="AP1052" s="1754"/>
      <c r="AQ1052" s="175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 customHeight="1">
      <c r="A1053" s="14"/>
      <c r="B1053" s="102"/>
      <c r="C1053" s="103"/>
      <c r="D1053" s="1800" t="s">
        <v>514</v>
      </c>
      <c r="E1053" s="1800"/>
      <c r="F1053" s="1800"/>
      <c r="G1053" s="1800"/>
      <c r="H1053" s="1800"/>
      <c r="I1053" s="1800"/>
      <c r="J1053" s="1800"/>
      <c r="K1053" s="1800"/>
      <c r="L1053" s="1800"/>
      <c r="M1053" s="1800"/>
      <c r="N1053" s="1800"/>
      <c r="O1053" s="1800"/>
      <c r="P1053" s="1800"/>
      <c r="Q1053" s="1800"/>
      <c r="R1053" s="1800"/>
      <c r="S1053" s="1800"/>
      <c r="T1053" s="1800"/>
      <c r="U1053" s="1800"/>
      <c r="V1053" s="1800"/>
      <c r="W1053" s="1800"/>
      <c r="X1053" s="1800"/>
      <c r="Y1053" s="1800"/>
      <c r="Z1053" s="1800"/>
      <c r="AA1053" s="1800"/>
      <c r="AB1053" s="1800"/>
      <c r="AC1053" s="1800"/>
      <c r="AD1053" s="1800"/>
      <c r="AE1053" s="1800"/>
      <c r="AF1053" s="1800"/>
      <c r="AG1053" s="1800"/>
      <c r="AH1053" s="1800"/>
      <c r="AI1053" s="1801"/>
      <c r="AJ1053" s="1810">
        <f>SUM(AJ992:AQ1052)</f>
        <v>44701457.68</v>
      </c>
      <c r="AK1053" s="1811"/>
      <c r="AL1053" s="1811"/>
      <c r="AM1053" s="1811"/>
      <c r="AN1053" s="1811"/>
      <c r="AO1053" s="1811"/>
      <c r="AP1053" s="1811"/>
      <c r="AQ1053" s="1812"/>
      <c r="AR1053" s="68"/>
      <c r="AS1053" s="68"/>
      <c r="AT1053" s="68"/>
      <c r="AU1053" s="68"/>
      <c r="AV1053" s="68"/>
      <c r="AW1053" s="68"/>
      <c r="AX1053" s="68"/>
      <c r="AY1053" s="68"/>
      <c r="AZ1053" s="1181">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82">
        <f>'Sources and Uses Budget'!S107+'Sources and Uses Budget'!T107</f>
        <v>35957052</v>
      </c>
      <c r="AB1056" s="1382"/>
      <c r="AC1056" s="1382"/>
      <c r="AD1056" s="1382"/>
      <c r="AE1056" s="1382"/>
      <c r="AF1056" s="138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5315881.3499999996</v>
      </c>
      <c r="BB1056" s="3" t="s">
        <v>2488</v>
      </c>
      <c r="BC1056" s="3"/>
      <c r="BD1056" s="3"/>
    </row>
    <row r="1057" spans="1:54" ht="12.9"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83">
        <f>IFERROR((AA1056-BA1059)/(AJ1053-AJ1045-AJ1049),"")</f>
        <v>1.022445971824675</v>
      </c>
      <c r="AB1057" s="1384"/>
      <c r="AC1057" s="1384"/>
      <c r="AD1057" s="1384"/>
      <c r="AE1057" s="1384"/>
      <c r="AF1057" s="138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8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86"/>
      <c r="I1058" s="1386"/>
      <c r="J1058" s="1386"/>
      <c r="K1058" s="1386"/>
      <c r="L1058" s="1386"/>
      <c r="M1058" s="1386"/>
      <c r="N1058" s="1386"/>
      <c r="O1058" s="1386"/>
      <c r="P1058" s="1386"/>
      <c r="Q1058" s="1386"/>
      <c r="R1058" s="1386"/>
      <c r="S1058" s="1386"/>
      <c r="T1058" s="1386"/>
      <c r="U1058" s="1386"/>
      <c r="V1058" s="1386"/>
      <c r="W1058" s="1386"/>
      <c r="X1058" s="1386"/>
      <c r="Y1058" s="1386"/>
      <c r="Z1058" s="1386"/>
      <c r="AA1058" s="1386"/>
      <c r="AB1058" s="1386"/>
      <c r="AC1058" s="1386"/>
      <c r="AD1058" s="1386"/>
      <c r="AE1058" s="1386"/>
      <c r="AF1058" s="1386"/>
      <c r="AG1058" s="1386"/>
      <c r="AH1058" s="1386"/>
      <c r="AI1058" s="1386"/>
      <c r="AJ1058" s="1386"/>
      <c r="AK1058" s="1386"/>
      <c r="AL1058" s="1386"/>
      <c r="AM1058" s="1386"/>
      <c r="AN1058" s="1386"/>
      <c r="AO1058" s="68"/>
      <c r="AP1058" s="68"/>
      <c r="AQ1058" s="68"/>
      <c r="AR1058" s="68"/>
      <c r="AS1058" s="68"/>
      <c r="AT1058" s="68"/>
      <c r="AU1058" s="68"/>
      <c r="AV1058" s="14"/>
      <c r="AW1058" s="14"/>
      <c r="AX1058" s="14"/>
      <c r="AY1058" s="14"/>
      <c r="BA1058" s="1185">
        <f>'Sources and Uses Budget'!$S$104+'Sources and Uses Budget'!$T$104</f>
        <v>3670441</v>
      </c>
      <c r="BB1058" s="3" t="s">
        <v>2494</v>
      </c>
    </row>
    <row r="1059" spans="1:54" ht="12.9" customHeight="1">
      <c r="A1059" s="14"/>
      <c r="B1059" s="14"/>
      <c r="C1059" s="208"/>
      <c r="D1059" s="858"/>
      <c r="E1059" s="858"/>
      <c r="F1059" s="858"/>
      <c r="G1059" s="1386"/>
      <c r="H1059" s="1386"/>
      <c r="I1059" s="1386"/>
      <c r="J1059" s="1386"/>
      <c r="K1059" s="1386"/>
      <c r="L1059" s="1386"/>
      <c r="M1059" s="1386"/>
      <c r="N1059" s="1386"/>
      <c r="O1059" s="1386"/>
      <c r="P1059" s="1386"/>
      <c r="Q1059" s="1386"/>
      <c r="R1059" s="1386"/>
      <c r="S1059" s="1386"/>
      <c r="T1059" s="1386"/>
      <c r="U1059" s="1386"/>
      <c r="V1059" s="1386"/>
      <c r="W1059" s="1386"/>
      <c r="X1059" s="1386"/>
      <c r="Y1059" s="1386"/>
      <c r="Z1059" s="1386"/>
      <c r="AA1059" s="1386"/>
      <c r="AB1059" s="1386"/>
      <c r="AC1059" s="1386"/>
      <c r="AD1059" s="1386"/>
      <c r="AE1059" s="1386"/>
      <c r="AF1059" s="1386"/>
      <c r="AG1059" s="1386"/>
      <c r="AH1059" s="1386"/>
      <c r="AI1059" s="1386"/>
      <c r="AJ1059" s="1386"/>
      <c r="AK1059" s="1386"/>
      <c r="AL1059" s="1386"/>
      <c r="AM1059" s="1386"/>
      <c r="AN1059" s="1386"/>
      <c r="AO1059" s="68"/>
      <c r="AP1059" s="68"/>
      <c r="AQ1059" s="68"/>
      <c r="AR1059" s="68"/>
      <c r="AS1059" s="68"/>
      <c r="AT1059" s="68"/>
      <c r="AU1059" s="68"/>
      <c r="AV1059" s="14"/>
      <c r="AW1059" s="14"/>
      <c r="AX1059" s="14"/>
      <c r="AY1059" s="14"/>
      <c r="BA1059" s="1186">
        <f>MAX($BA$1058-$BA$1055,0)</f>
        <v>1170441</v>
      </c>
      <c r="BB1059" s="3" t="s">
        <v>2495</v>
      </c>
    </row>
    <row r="1060" spans="1:54" ht="12.9" customHeight="1">
      <c r="A1060" s="88"/>
      <c r="B1060" s="1172"/>
      <c r="C1060" s="1172"/>
      <c r="D1060" s="1172"/>
      <c r="E1060" s="1172"/>
      <c r="F1060" s="1172"/>
      <c r="G1060" s="1386"/>
      <c r="H1060" s="1386"/>
      <c r="I1060" s="1386"/>
      <c r="J1060" s="1386"/>
      <c r="K1060" s="1386"/>
      <c r="L1060" s="1386"/>
      <c r="M1060" s="1386"/>
      <c r="N1060" s="1386"/>
      <c r="O1060" s="1386"/>
      <c r="P1060" s="1386"/>
      <c r="Q1060" s="1386"/>
      <c r="R1060" s="1386"/>
      <c r="S1060" s="1386"/>
      <c r="T1060" s="1386"/>
      <c r="U1060" s="1386"/>
      <c r="V1060" s="1386"/>
      <c r="W1060" s="1386"/>
      <c r="X1060" s="1386"/>
      <c r="Y1060" s="1386"/>
      <c r="Z1060" s="1386"/>
      <c r="AA1060" s="1386"/>
      <c r="AB1060" s="1386"/>
      <c r="AC1060" s="1386"/>
      <c r="AD1060" s="1386"/>
      <c r="AE1060" s="1386"/>
      <c r="AF1060" s="1386"/>
      <c r="AG1060" s="1386"/>
      <c r="AH1060" s="1386"/>
      <c r="AI1060" s="1386"/>
      <c r="AJ1060" s="1386"/>
      <c r="AK1060" s="1386"/>
      <c r="AL1060" s="1386"/>
      <c r="AM1060" s="1386"/>
      <c r="AN1060" s="1386"/>
      <c r="AO1060" s="1172"/>
      <c r="AP1060" s="1172"/>
      <c r="AQ1060" s="68"/>
      <c r="AR1060" s="68"/>
      <c r="AS1060" s="68"/>
      <c r="AT1060" s="68"/>
      <c r="AU1060" s="68"/>
      <c r="AV1060" s="68"/>
      <c r="AW1060" s="68"/>
      <c r="AX1060" s="68"/>
      <c r="AY1060" s="68"/>
    </row>
    <row r="1061" spans="1:54" ht="12.9" customHeight="1">
      <c r="A1061" s="1853" t="s">
        <v>795</v>
      </c>
      <c r="B1061" s="1853"/>
      <c r="C1061" s="1853"/>
      <c r="D1061" s="1853"/>
      <c r="E1061" s="1853"/>
      <c r="F1061" s="1853"/>
      <c r="G1061" s="1853"/>
      <c r="H1061" s="1853"/>
      <c r="I1061" s="1853"/>
      <c r="J1061" s="1853"/>
      <c r="K1061" s="1853"/>
      <c r="L1061" s="1853"/>
      <c r="M1061" s="1853"/>
      <c r="N1061" s="1853"/>
      <c r="O1061" s="1853"/>
      <c r="P1061" s="1853"/>
      <c r="Q1061" s="1853"/>
      <c r="R1061" s="1853"/>
      <c r="S1061" s="1853"/>
      <c r="T1061" s="1853"/>
      <c r="U1061" s="1853"/>
      <c r="V1061" s="1853"/>
      <c r="W1061" s="1853"/>
      <c r="X1061" s="1853"/>
      <c r="Y1061" s="1853"/>
      <c r="Z1061" s="1853"/>
      <c r="AA1061" s="1853"/>
      <c r="AB1061" s="1853"/>
      <c r="AC1061" s="1853"/>
      <c r="AD1061" s="1853"/>
      <c r="AE1061" s="1853"/>
      <c r="AF1061" s="1853"/>
      <c r="AG1061" s="1853"/>
      <c r="AH1061" s="1853"/>
      <c r="AI1061" s="1853"/>
      <c r="AJ1061" s="1853"/>
      <c r="AK1061" s="1853"/>
      <c r="AL1061" s="1853"/>
      <c r="AM1061" s="1853"/>
      <c r="AN1061" s="1853"/>
      <c r="AO1061" s="1853"/>
      <c r="AP1061" s="1853"/>
      <c r="AQ1061" s="185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7" t="s">
        <v>546</v>
      </c>
      <c r="B1065" s="1337"/>
      <c r="C1065" s="1872">
        <v>1</v>
      </c>
      <c r="D1065" s="1872"/>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72"/>
      <c r="D1066" s="187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7" t="s">
        <v>592</v>
      </c>
      <c r="B1067" s="1337"/>
      <c r="C1067" s="1872">
        <v>2</v>
      </c>
      <c r="D1067" s="1872"/>
      <c r="E1067" s="1874" t="s">
        <v>2238</v>
      </c>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c r="AL1067" s="1874"/>
      <c r="AM1067" s="1874"/>
      <c r="AN1067" s="1874"/>
      <c r="AO1067" s="1874"/>
      <c r="AP1067" s="1874"/>
      <c r="AQ1067" s="1874"/>
      <c r="AR1067" s="1874"/>
      <c r="AS1067" s="14"/>
      <c r="AT1067" s="14"/>
      <c r="AV1067" s="68"/>
      <c r="AW1067" s="68"/>
      <c r="AX1067" s="68"/>
      <c r="AY1067" s="68"/>
    </row>
    <row r="1068" spans="1:54" ht="12.9" customHeight="1">
      <c r="A1068" s="198"/>
      <c r="B1068" s="67"/>
      <c r="C1068" s="1872"/>
      <c r="D1068" s="1872"/>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c r="AL1068" s="1874"/>
      <c r="AM1068" s="1874"/>
      <c r="AN1068" s="1874"/>
      <c r="AO1068" s="1874"/>
      <c r="AP1068" s="1874"/>
      <c r="AQ1068" s="1874"/>
      <c r="AR1068" s="1874"/>
      <c r="AS1068" s="14"/>
      <c r="AT1068" s="14"/>
      <c r="AV1068" s="68"/>
      <c r="AW1068" s="68"/>
      <c r="AX1068" s="68"/>
      <c r="AY1068" s="68"/>
    </row>
    <row r="1069" spans="1:54" ht="12.9" customHeight="1">
      <c r="A1069" s="198"/>
      <c r="B1069" s="67"/>
      <c r="C1069" s="1872"/>
      <c r="D1069" s="187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7" t="s">
        <v>592</v>
      </c>
      <c r="B1070" s="1337"/>
      <c r="C1070" s="1444">
        <v>3</v>
      </c>
      <c r="D1070" s="1444"/>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44"/>
      <c r="D1071" s="1444"/>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44"/>
      <c r="D1072" s="1444"/>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44"/>
      <c r="D1073" s="1444"/>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44"/>
      <c r="D1074" s="144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7" t="s">
        <v>592</v>
      </c>
      <c r="B1075" s="1337"/>
      <c r="C1075" s="1444">
        <v>4</v>
      </c>
      <c r="D1075" s="1444"/>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44"/>
      <c r="D1076" s="1444"/>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44"/>
      <c r="D1077" s="1444"/>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44"/>
      <c r="D1078" s="1444"/>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44"/>
      <c r="D1079" s="1444"/>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44"/>
      <c r="D1080" s="144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7" t="s">
        <v>592</v>
      </c>
      <c r="B1081" s="1337"/>
      <c r="C1081" s="1444">
        <v>5</v>
      </c>
      <c r="D1081" s="1444"/>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44"/>
      <c r="D1082" s="1444"/>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44"/>
      <c r="D1083" s="1444"/>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44"/>
      <c r="D1084" s="144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7" t="s">
        <v>592</v>
      </c>
      <c r="B1085" s="1337"/>
      <c r="C1085" s="1444">
        <v>6</v>
      </c>
      <c r="D1085" s="1444"/>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44"/>
      <c r="D1087" s="1444"/>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44"/>
      <c r="D1088" s="144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7" t="s">
        <v>546</v>
      </c>
      <c r="B1089" s="1337"/>
      <c r="C1089" s="1444">
        <v>7</v>
      </c>
      <c r="D1089" s="1444"/>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44"/>
      <c r="D1090" s="1444"/>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44"/>
      <c r="D1091" s="1444"/>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44"/>
      <c r="D1092" s="144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44"/>
      <c r="D1093" s="144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7" t="s">
        <v>592</v>
      </c>
      <c r="B1094" s="1337"/>
      <c r="C1094" s="1444">
        <v>8</v>
      </c>
      <c r="D1094" s="1444"/>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44"/>
      <c r="D1095" s="1444"/>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44"/>
      <c r="D1096" s="144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7" t="s">
        <v>592</v>
      </c>
      <c r="B1097" s="1337"/>
      <c r="C1097" s="1872">
        <v>9</v>
      </c>
      <c r="D1097" s="1872"/>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72"/>
      <c r="D1098" s="187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72"/>
      <c r="D1099" s="187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7" t="s">
        <v>592</v>
      </c>
      <c r="B1100" s="1337"/>
      <c r="C1100" s="1872">
        <v>10</v>
      </c>
      <c r="D1100" s="1872"/>
      <c r="E1100" s="1873" t="s">
        <v>2239</v>
      </c>
      <c r="F1100" s="1873"/>
      <c r="G1100" s="1873"/>
      <c r="H1100" s="1873"/>
      <c r="I1100" s="1873"/>
      <c r="J1100" s="1873"/>
      <c r="K1100" s="1873"/>
      <c r="L1100" s="1873"/>
      <c r="M1100" s="1873"/>
      <c r="N1100" s="1873"/>
      <c r="O1100" s="1873"/>
      <c r="P1100" s="1873"/>
      <c r="Q1100" s="1873"/>
      <c r="R1100" s="1873"/>
      <c r="S1100" s="1873"/>
      <c r="T1100" s="1873"/>
      <c r="U1100" s="1873"/>
      <c r="V1100" s="1873"/>
      <c r="W1100" s="1873"/>
      <c r="X1100" s="1873"/>
      <c r="Y1100" s="1873"/>
      <c r="Z1100" s="1873"/>
      <c r="AA1100" s="1873"/>
      <c r="AB1100" s="1873"/>
      <c r="AC1100" s="1873"/>
      <c r="AD1100" s="1873"/>
      <c r="AE1100" s="1873"/>
      <c r="AF1100" s="1873"/>
      <c r="AG1100" s="1873"/>
      <c r="AH1100" s="1873"/>
      <c r="AI1100" s="1873"/>
      <c r="AJ1100" s="1873"/>
      <c r="AK1100" s="1873"/>
      <c r="AL1100" s="1873"/>
      <c r="AM1100" s="1873"/>
      <c r="AN1100" s="1873"/>
      <c r="AO1100" s="1873"/>
      <c r="AP1100" s="1873"/>
      <c r="AQ1100" s="1873"/>
      <c r="AR1100" s="1873"/>
    </row>
    <row r="1101" spans="1:45" ht="12.9" customHeight="1">
      <c r="A1101" s="1"/>
      <c r="B1101" s="1"/>
      <c r="C1101" s="199"/>
      <c r="D1101" s="1161"/>
      <c r="E1101" s="1873"/>
      <c r="F1101" s="1873"/>
      <c r="G1101" s="1873"/>
      <c r="H1101" s="1873"/>
      <c r="I1101" s="1873"/>
      <c r="J1101" s="1873"/>
      <c r="K1101" s="1873"/>
      <c r="L1101" s="1873"/>
      <c r="M1101" s="1873"/>
      <c r="N1101" s="1873"/>
      <c r="O1101" s="1873"/>
      <c r="P1101" s="1873"/>
      <c r="Q1101" s="1873"/>
      <c r="R1101" s="1873"/>
      <c r="S1101" s="1873"/>
      <c r="T1101" s="1873"/>
      <c r="U1101" s="1873"/>
      <c r="V1101" s="1873"/>
      <c r="W1101" s="1873"/>
      <c r="X1101" s="1873"/>
      <c r="Y1101" s="1873"/>
      <c r="Z1101" s="1873"/>
      <c r="AA1101" s="1873"/>
      <c r="AB1101" s="1873"/>
      <c r="AC1101" s="1873"/>
      <c r="AD1101" s="1873"/>
      <c r="AE1101" s="1873"/>
      <c r="AF1101" s="1873"/>
      <c r="AG1101" s="1873"/>
      <c r="AH1101" s="1873"/>
      <c r="AI1101" s="1873"/>
      <c r="AJ1101" s="1873"/>
      <c r="AK1101" s="1873"/>
      <c r="AL1101" s="1873"/>
      <c r="AM1101" s="1873"/>
      <c r="AN1101" s="1873"/>
      <c r="AO1101" s="1873"/>
      <c r="AP1101" s="1873"/>
      <c r="AQ1101" s="1873"/>
      <c r="AR1101" s="1873"/>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7" t="s">
        <v>546</v>
      </c>
      <c r="B1103" s="1337"/>
      <c r="C1103" s="1872">
        <v>11</v>
      </c>
      <c r="D1103" s="1872"/>
      <c r="E1103" s="1873" t="s">
        <v>2241</v>
      </c>
      <c r="F1103" s="1873"/>
      <c r="G1103" s="1873"/>
      <c r="H1103" s="1873"/>
      <c r="I1103" s="1873"/>
      <c r="J1103" s="1873"/>
      <c r="K1103" s="1873"/>
      <c r="L1103" s="1873"/>
      <c r="M1103" s="1873"/>
      <c r="N1103" s="1873"/>
      <c r="O1103" s="1873"/>
      <c r="P1103" s="1873"/>
      <c r="Q1103" s="1873"/>
      <c r="R1103" s="1873"/>
      <c r="S1103" s="1873"/>
      <c r="T1103" s="1873"/>
      <c r="U1103" s="1873"/>
      <c r="V1103" s="1873"/>
      <c r="W1103" s="1873"/>
      <c r="X1103" s="1873"/>
      <c r="Y1103" s="1873"/>
      <c r="Z1103" s="1873"/>
      <c r="AA1103" s="1873"/>
      <c r="AB1103" s="1873"/>
      <c r="AC1103" s="1873"/>
      <c r="AD1103" s="1873"/>
      <c r="AE1103" s="1873"/>
      <c r="AF1103" s="1873"/>
      <c r="AG1103" s="1873"/>
      <c r="AH1103" s="1873"/>
      <c r="AI1103" s="1873"/>
      <c r="AJ1103" s="1873"/>
      <c r="AK1103" s="1873"/>
      <c r="AL1103" s="1873"/>
      <c r="AM1103" s="1873"/>
      <c r="AN1103" s="1873"/>
      <c r="AO1103" s="1873"/>
      <c r="AP1103" s="1873"/>
      <c r="AQ1103" s="1873"/>
      <c r="AR1103" s="1873"/>
    </row>
    <row r="1104" spans="1:45" ht="12.9" customHeight="1">
      <c r="A1104" s="1"/>
      <c r="B1104" s="1"/>
      <c r="C1104" s="199"/>
      <c r="D1104" s="1161"/>
      <c r="E1104" s="1873"/>
      <c r="F1104" s="1873"/>
      <c r="G1104" s="1873"/>
      <c r="H1104" s="1873"/>
      <c r="I1104" s="1873"/>
      <c r="J1104" s="1873"/>
      <c r="K1104" s="1873"/>
      <c r="L1104" s="1873"/>
      <c r="M1104" s="1873"/>
      <c r="N1104" s="1873"/>
      <c r="O1104" s="1873"/>
      <c r="P1104" s="1873"/>
      <c r="Q1104" s="1873"/>
      <c r="R1104" s="1873"/>
      <c r="S1104" s="1873"/>
      <c r="T1104" s="1873"/>
      <c r="U1104" s="1873"/>
      <c r="V1104" s="1873"/>
      <c r="W1104" s="1873"/>
      <c r="X1104" s="1873"/>
      <c r="Y1104" s="1873"/>
      <c r="Z1104" s="1873"/>
      <c r="AA1104" s="1873"/>
      <c r="AB1104" s="1873"/>
      <c r="AC1104" s="1873"/>
      <c r="AD1104" s="1873"/>
      <c r="AE1104" s="1873"/>
      <c r="AF1104" s="1873"/>
      <c r="AG1104" s="1873"/>
      <c r="AH1104" s="1873"/>
      <c r="AI1104" s="1873"/>
      <c r="AJ1104" s="1873"/>
      <c r="AK1104" s="1873"/>
      <c r="AL1104" s="1873"/>
      <c r="AM1104" s="1873"/>
      <c r="AN1104" s="1873"/>
      <c r="AO1104" s="1873"/>
      <c r="AP1104" s="1873"/>
      <c r="AQ1104" s="1873"/>
      <c r="AR1104" s="1873"/>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7" t="s">
        <v>592</v>
      </c>
      <c r="B1125" s="1337"/>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K731:AO731"/>
    <mergeCell ref="AK738:AO738"/>
    <mergeCell ref="Z686:AK686"/>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655:L655"/>
    <mergeCell ref="H656:R656"/>
    <mergeCell ref="AC733:AG733"/>
    <mergeCell ref="H688:R688"/>
    <mergeCell ref="AK737:AO737"/>
    <mergeCell ref="X735:AB735"/>
    <mergeCell ref="X736:AB736"/>
    <mergeCell ref="T735:W735"/>
    <mergeCell ref="T734:W734"/>
    <mergeCell ref="AC727:AG727"/>
    <mergeCell ref="AC728:AG728"/>
    <mergeCell ref="AC732:AG732"/>
    <mergeCell ref="X733:AB733"/>
    <mergeCell ref="AC724:AG724"/>
    <mergeCell ref="K718:N718"/>
    <mergeCell ref="B736:F736"/>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P421:R421"/>
    <mergeCell ref="C634:L634"/>
    <mergeCell ref="M624:P626"/>
    <mergeCell ref="AM561:AS561"/>
    <mergeCell ref="Z631:AB631"/>
    <mergeCell ref="AF624:AJ626"/>
    <mergeCell ref="AM559:AS559"/>
    <mergeCell ref="AE559:AH559"/>
    <mergeCell ref="AI559:AL559"/>
    <mergeCell ref="W469:Y469"/>
    <mergeCell ref="AH515:AK515"/>
    <mergeCell ref="AC516:AF516"/>
    <mergeCell ref="AM556:AS556"/>
    <mergeCell ref="Z434:AA434"/>
    <mergeCell ref="P605:R605"/>
    <mergeCell ref="C628:L628"/>
    <mergeCell ref="C629:L629"/>
    <mergeCell ref="K745:N745"/>
    <mergeCell ref="O737:S737"/>
    <mergeCell ref="O738:S738"/>
    <mergeCell ref="T740:W740"/>
    <mergeCell ref="G741:J741"/>
    <mergeCell ref="T739:W739"/>
    <mergeCell ref="O739:S739"/>
    <mergeCell ref="O740:S740"/>
    <mergeCell ref="K741:N741"/>
    <mergeCell ref="O736:S736"/>
    <mergeCell ref="K738:N738"/>
    <mergeCell ref="K743:N743"/>
    <mergeCell ref="O743:S743"/>
    <mergeCell ref="T743:W743"/>
    <mergeCell ref="K744:N744"/>
    <mergeCell ref="O744:S744"/>
    <mergeCell ref="O727:S727"/>
    <mergeCell ref="K737:N737"/>
    <mergeCell ref="DZ738:ED738"/>
    <mergeCell ref="EE738:EI738"/>
    <mergeCell ref="EJ738:EN738"/>
    <mergeCell ref="EM636:EQ636"/>
    <mergeCell ref="DX637:EB637"/>
    <mergeCell ref="AC633:AE633"/>
    <mergeCell ref="B639:AN639"/>
    <mergeCell ref="B640:AN640"/>
    <mergeCell ref="V381:W381"/>
    <mergeCell ref="Z646:AK646"/>
    <mergeCell ref="G580:R580"/>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X732:AB732"/>
    <mergeCell ref="K734:N734"/>
    <mergeCell ref="AH733:AJ733"/>
    <mergeCell ref="G732:J732"/>
    <mergeCell ref="AH735:AJ735"/>
    <mergeCell ref="X734:AB734"/>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J729:EN729"/>
    <mergeCell ref="EJ717:EN717"/>
    <mergeCell ref="DJ720:DN720"/>
    <mergeCell ref="DJ717:DN717"/>
    <mergeCell ref="DJ722:DN722"/>
    <mergeCell ref="DE721:DI721"/>
    <mergeCell ref="DE723:DI723"/>
    <mergeCell ref="CU718:CY718"/>
    <mergeCell ref="CP717:CT717"/>
    <mergeCell ref="AK720:AO720"/>
    <mergeCell ref="DJ723:DN723"/>
    <mergeCell ref="DJ724:DN724"/>
    <mergeCell ref="DO727:DS727"/>
    <mergeCell ref="DO728:DS728"/>
    <mergeCell ref="DO722:DS722"/>
    <mergeCell ref="DO723:DS723"/>
    <mergeCell ref="DO724:DS724"/>
    <mergeCell ref="DJ721:DN721"/>
    <mergeCell ref="DO726:DS726"/>
    <mergeCell ref="CZ727:DD727"/>
    <mergeCell ref="CP719:CT719"/>
    <mergeCell ref="DE728:DI728"/>
    <mergeCell ref="CU729:CY729"/>
    <mergeCell ref="CM729:CN729"/>
    <mergeCell ref="DZ728:ED728"/>
    <mergeCell ref="EE724:EI724"/>
    <mergeCell ref="CZ726:DD726"/>
    <mergeCell ref="CK722:CL722"/>
    <mergeCell ref="CK719:CL719"/>
    <mergeCell ref="AK728:AO728"/>
    <mergeCell ref="AK729:AO729"/>
    <mergeCell ref="AK726:AO726"/>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M662:EQ662"/>
    <mergeCell ref="ER662:EV662"/>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AO627:AS627"/>
    <mergeCell ref="EO752:ES752"/>
    <mergeCell ref="EJ752:EN752"/>
    <mergeCell ref="ET738:EX738"/>
    <mergeCell ref="DU738:DY738"/>
    <mergeCell ref="CK745:CL745"/>
    <mergeCell ref="CI753:CJ753"/>
    <mergeCell ref="CM753:CN753"/>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DU727:DY727"/>
    <mergeCell ref="EE726:EI726"/>
    <mergeCell ref="EJ726:EN726"/>
    <mergeCell ref="DO720:DS720"/>
    <mergeCell ref="DU718:DY718"/>
    <mergeCell ref="DU721:DY721"/>
    <mergeCell ref="EE721:EI721"/>
    <mergeCell ref="EJ721:EN721"/>
    <mergeCell ref="DZ721:ED721"/>
    <mergeCell ref="DU717:DY717"/>
    <mergeCell ref="DU719:DY719"/>
    <mergeCell ref="EE717:EI71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B988:AI988"/>
    <mergeCell ref="R986:AA986"/>
    <mergeCell ref="M959:S959"/>
    <mergeCell ref="M968:S968"/>
    <mergeCell ref="M958:S958"/>
    <mergeCell ref="AA972:AG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D994:AE994"/>
    <mergeCell ref="D1000:AE1000"/>
    <mergeCell ref="AJ1036:AQ1040"/>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D1041:AE1041"/>
    <mergeCell ref="D1042:AE1044"/>
    <mergeCell ref="F975:L975"/>
    <mergeCell ref="M975:S975"/>
    <mergeCell ref="D985:Q985"/>
    <mergeCell ref="D986:Q986"/>
    <mergeCell ref="AB985:AI985"/>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Q633:S633"/>
    <mergeCell ref="AC634:AE634"/>
    <mergeCell ref="T633:V633"/>
    <mergeCell ref="T736:W736"/>
    <mergeCell ref="O720:S720"/>
    <mergeCell ref="O733:S733"/>
    <mergeCell ref="K731:N731"/>
    <mergeCell ref="T718:W718"/>
    <mergeCell ref="O721:S721"/>
    <mergeCell ref="T723:W72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T748:W748"/>
    <mergeCell ref="X747:AB747"/>
    <mergeCell ref="AH752:AJ752"/>
    <mergeCell ref="AH751:AJ751"/>
    <mergeCell ref="G753:J753"/>
    <mergeCell ref="AD759:AF759"/>
    <mergeCell ref="O746:S746"/>
    <mergeCell ref="K746:N746"/>
    <mergeCell ref="T751:W751"/>
    <mergeCell ref="K748:N748"/>
    <mergeCell ref="G667:R667"/>
    <mergeCell ref="AC731:AG731"/>
    <mergeCell ref="G737:J737"/>
    <mergeCell ref="G735:J735"/>
    <mergeCell ref="G671:L671"/>
    <mergeCell ref="AH729:AJ729"/>
    <mergeCell ref="AC739:AG739"/>
    <mergeCell ref="X724:AB724"/>
    <mergeCell ref="T744:W744"/>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B740:F740"/>
    <mergeCell ref="AG756:AJ756"/>
    <mergeCell ref="O790:S790"/>
    <mergeCell ref="T776:W776"/>
    <mergeCell ref="T774:W774"/>
    <mergeCell ref="B753:F753"/>
    <mergeCell ref="O752:S752"/>
    <mergeCell ref="AK746:AO746"/>
    <mergeCell ref="AK747:AO747"/>
    <mergeCell ref="O776:S776"/>
    <mergeCell ref="O769:S772"/>
    <mergeCell ref="B754:AH755"/>
    <mergeCell ref="J792:N792"/>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A1125:B11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O729:S729"/>
    <mergeCell ref="AK748:AO748"/>
    <mergeCell ref="AB917:AE917"/>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A925:AF925"/>
    <mergeCell ref="AE958:AK958"/>
    <mergeCell ref="F916:T917"/>
    <mergeCell ref="F939:T939"/>
    <mergeCell ref="U920:Z920"/>
    <mergeCell ref="F932:T932"/>
    <mergeCell ref="AA939:AF939"/>
    <mergeCell ref="AA940:AF940"/>
    <mergeCell ref="U949:Z949"/>
    <mergeCell ref="C830:H830"/>
    <mergeCell ref="I948:T948"/>
    <mergeCell ref="AC895:AH895"/>
    <mergeCell ref="AA933:AF933"/>
    <mergeCell ref="Z900:AE900"/>
    <mergeCell ref="Y825:AB825"/>
    <mergeCell ref="AC825:AF825"/>
    <mergeCell ref="AA941:AF941"/>
    <mergeCell ref="AA929:AF929"/>
    <mergeCell ref="U930:Z930"/>
    <mergeCell ref="AA930:AF930"/>
    <mergeCell ref="F928:T928"/>
    <mergeCell ref="U926:Z926"/>
    <mergeCell ref="AA926:AF926"/>
    <mergeCell ref="U927:Z927"/>
    <mergeCell ref="AA927:AF927"/>
    <mergeCell ref="F929:T929"/>
    <mergeCell ref="AC887:AH887"/>
    <mergeCell ref="W866:AC866"/>
    <mergeCell ref="W859:AC859"/>
    <mergeCell ref="W849:AC849"/>
    <mergeCell ref="M877:V877"/>
    <mergeCell ref="W869:AC869"/>
    <mergeCell ref="W847:AC847"/>
    <mergeCell ref="W876:AC876"/>
    <mergeCell ref="F930:T930"/>
    <mergeCell ref="U923:Z923"/>
    <mergeCell ref="AA922:AF922"/>
    <mergeCell ref="AA920:AF920"/>
    <mergeCell ref="AA919:AF919"/>
    <mergeCell ref="U925:Z925"/>
    <mergeCell ref="A910:AT911"/>
    <mergeCell ref="F936:T936"/>
    <mergeCell ref="F831:L831"/>
    <mergeCell ref="U827:X827"/>
    <mergeCell ref="C827:H827"/>
    <mergeCell ref="I949:T949"/>
    <mergeCell ref="U938:Z938"/>
    <mergeCell ref="M955:S955"/>
    <mergeCell ref="U928:Z928"/>
    <mergeCell ref="U948:Z948"/>
    <mergeCell ref="U935:Z935"/>
    <mergeCell ref="AA923:AF923"/>
    <mergeCell ref="D1046:AE1047"/>
    <mergeCell ref="M826:P826"/>
    <mergeCell ref="M871:V871"/>
    <mergeCell ref="M878:V878"/>
    <mergeCell ref="Q825:T825"/>
    <mergeCell ref="W870:AC870"/>
    <mergeCell ref="U946:Z946"/>
    <mergeCell ref="AA944:AF944"/>
    <mergeCell ref="AA928:AF928"/>
    <mergeCell ref="AA936:AF936"/>
    <mergeCell ref="U943:Z943"/>
    <mergeCell ref="U941:Z941"/>
    <mergeCell ref="AA943:AF943"/>
    <mergeCell ref="AC885:AH885"/>
    <mergeCell ref="W861:AC861"/>
    <mergeCell ref="C895:AB895"/>
    <mergeCell ref="F946:H946"/>
    <mergeCell ref="AA967:AG967"/>
    <mergeCell ref="F926:T926"/>
    <mergeCell ref="F927:T927"/>
    <mergeCell ref="AG829:AJ829"/>
    <mergeCell ref="AG826:AJ826"/>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CM739:CN739"/>
    <mergeCell ref="CM733:CN733"/>
    <mergeCell ref="CP737:CT737"/>
    <mergeCell ref="CZ734:DD734"/>
    <mergeCell ref="CP733:CT733"/>
    <mergeCell ref="CP732:CT732"/>
    <mergeCell ref="CU731:CY731"/>
    <mergeCell ref="CI737:CJ737"/>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U734:DY734"/>
    <mergeCell ref="DU729:DY729"/>
    <mergeCell ref="DZ722:ED722"/>
    <mergeCell ref="ET752:EX752"/>
    <mergeCell ref="EO751:ES751"/>
    <mergeCell ref="CZ752:DD752"/>
    <mergeCell ref="ET753:EX753"/>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ET731:EX731"/>
    <mergeCell ref="EJ727:EN727"/>
    <mergeCell ref="EO729:ES72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DJ718:DN718"/>
    <mergeCell ref="CZ719:DD719"/>
    <mergeCell ref="AE702:AF702"/>
    <mergeCell ref="AI663:AK663"/>
    <mergeCell ref="Z667:AK667"/>
    <mergeCell ref="B641:AN641"/>
    <mergeCell ref="G643:R643"/>
    <mergeCell ref="AC638:AE638"/>
    <mergeCell ref="G601:R601"/>
    <mergeCell ref="W634:Y634"/>
    <mergeCell ref="AM565:AS565"/>
    <mergeCell ref="G581:L581"/>
    <mergeCell ref="G647:L647"/>
    <mergeCell ref="C638:L638"/>
    <mergeCell ref="DO717:DS717"/>
    <mergeCell ref="CZ721:DD721"/>
    <mergeCell ref="AE564:AH564"/>
    <mergeCell ref="T638:V638"/>
    <mergeCell ref="AM563:AS563"/>
    <mergeCell ref="Z676:AK676"/>
    <mergeCell ref="W700:AK700"/>
    <mergeCell ref="Z683:AK683"/>
    <mergeCell ref="AA688:AK688"/>
    <mergeCell ref="AO628:AS628"/>
    <mergeCell ref="AG607:AH607"/>
    <mergeCell ref="AO624:AS626"/>
    <mergeCell ref="AG591:AH591"/>
    <mergeCell ref="Z632:AB632"/>
    <mergeCell ref="Z611:AK611"/>
    <mergeCell ref="AE693:AF693"/>
    <mergeCell ref="Z603:AK603"/>
    <mergeCell ref="EH652:EL652"/>
    <mergeCell ref="EJ725:EN725"/>
    <mergeCell ref="EJ718:EN718"/>
    <mergeCell ref="EM670:EQ670"/>
    <mergeCell ref="EJ720:EN720"/>
    <mergeCell ref="EO722:ES722"/>
    <mergeCell ref="EO717:ES717"/>
    <mergeCell ref="CU721:CY721"/>
    <mergeCell ref="ER649:EV649"/>
    <mergeCell ref="AA573:AK573"/>
    <mergeCell ref="X721:AB721"/>
    <mergeCell ref="AC722:AG722"/>
    <mergeCell ref="Z604:AK604"/>
    <mergeCell ref="AK638:AN638"/>
    <mergeCell ref="CM717:CN717"/>
    <mergeCell ref="CM719:CN719"/>
    <mergeCell ref="CM721:CN721"/>
    <mergeCell ref="W703:AK703"/>
    <mergeCell ref="Z679:AE679"/>
    <mergeCell ref="M565:P565"/>
    <mergeCell ref="G651:R651"/>
    <mergeCell ref="G652:R652"/>
    <mergeCell ref="DJ719:DN719"/>
    <mergeCell ref="CU717:CY717"/>
    <mergeCell ref="AC635:AE635"/>
    <mergeCell ref="W635:Y635"/>
    <mergeCell ref="Z597:AE597"/>
    <mergeCell ref="AF629:AJ629"/>
    <mergeCell ref="AI613:AK613"/>
    <mergeCell ref="AA614:AK614"/>
    <mergeCell ref="AC624:AE626"/>
    <mergeCell ref="G645:R645"/>
    <mergeCell ref="G659:R659"/>
    <mergeCell ref="Z579:AK579"/>
    <mergeCell ref="P589:R589"/>
    <mergeCell ref="Z588:AK588"/>
    <mergeCell ref="H590:R590"/>
    <mergeCell ref="AE695:AI695"/>
    <mergeCell ref="Z644:AK644"/>
    <mergeCell ref="AO636:AS636"/>
    <mergeCell ref="CZ718:DD718"/>
    <mergeCell ref="Z687:AE687"/>
    <mergeCell ref="AO641:AS641"/>
    <mergeCell ref="Z651:AK651"/>
    <mergeCell ref="Z670:AK670"/>
    <mergeCell ref="AG649:AH649"/>
    <mergeCell ref="N591:O591"/>
    <mergeCell ref="G610:R610"/>
    <mergeCell ref="A617:AT618"/>
    <mergeCell ref="B624:L626"/>
    <mergeCell ref="Z613:AE613"/>
    <mergeCell ref="AC636:AE636"/>
    <mergeCell ref="Z647:AE647"/>
    <mergeCell ref="AC720:AG720"/>
    <mergeCell ref="AA606:AK606"/>
    <mergeCell ref="W633:Y633"/>
    <mergeCell ref="Z630:AB630"/>
    <mergeCell ref="AC628:AE628"/>
    <mergeCell ref="AO631:AS631"/>
    <mergeCell ref="AH718:AJ718"/>
    <mergeCell ref="AC718:AG718"/>
    <mergeCell ref="AK714:AO717"/>
    <mergeCell ref="AK718:AO718"/>
    <mergeCell ref="AK630:AN630"/>
    <mergeCell ref="AK631:AN631"/>
    <mergeCell ref="AK632:AN632"/>
    <mergeCell ref="AI671:AK671"/>
    <mergeCell ref="AK627:AN627"/>
    <mergeCell ref="AF632:AJ632"/>
    <mergeCell ref="AC631:AE631"/>
    <mergeCell ref="Z662:AK662"/>
    <mergeCell ref="AC629:AE629"/>
    <mergeCell ref="AO633:AS633"/>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G589:L589"/>
    <mergeCell ref="G569:R569"/>
    <mergeCell ref="H582:R582"/>
    <mergeCell ref="Q563:S563"/>
    <mergeCell ref="AI565:AL565"/>
    <mergeCell ref="AE562:AH562"/>
    <mergeCell ref="Q562:S562"/>
    <mergeCell ref="G568:R568"/>
    <mergeCell ref="M574:R574"/>
    <mergeCell ref="C563:L563"/>
    <mergeCell ref="AE563:AH563"/>
    <mergeCell ref="G586:R586"/>
    <mergeCell ref="H573:R573"/>
    <mergeCell ref="Q565:S565"/>
    <mergeCell ref="AE565:AH565"/>
    <mergeCell ref="G587:R587"/>
    <mergeCell ref="G578:R578"/>
    <mergeCell ref="G572:L572"/>
    <mergeCell ref="Z581:AE581"/>
    <mergeCell ref="Z586:AK586"/>
    <mergeCell ref="R411:S411"/>
    <mergeCell ref="C561:L561"/>
    <mergeCell ref="M636:P636"/>
    <mergeCell ref="AA664:AK664"/>
    <mergeCell ref="T635:V635"/>
    <mergeCell ref="T636:V636"/>
    <mergeCell ref="T637:V637"/>
    <mergeCell ref="W563:Y563"/>
    <mergeCell ref="Z595:AK595"/>
    <mergeCell ref="G603:R603"/>
    <mergeCell ref="P597:R597"/>
    <mergeCell ref="G597:L597"/>
    <mergeCell ref="G602:R602"/>
    <mergeCell ref="W564:Y564"/>
    <mergeCell ref="W565:Y565"/>
    <mergeCell ref="W465:Y465"/>
    <mergeCell ref="Z635:AB635"/>
    <mergeCell ref="G609:R609"/>
    <mergeCell ref="N615:O615"/>
    <mergeCell ref="Z605:AE605"/>
    <mergeCell ref="Z609:AK609"/>
    <mergeCell ref="AC632:AE632"/>
    <mergeCell ref="M634:P634"/>
    <mergeCell ref="Z661:AK661"/>
    <mergeCell ref="Q634:S634"/>
    <mergeCell ref="AK636:AN636"/>
    <mergeCell ref="C637:L637"/>
    <mergeCell ref="AK637:AN637"/>
    <mergeCell ref="AM558:AS558"/>
    <mergeCell ref="AM566:AS566"/>
    <mergeCell ref="AM562:AS562"/>
    <mergeCell ref="Q624:S626"/>
    <mergeCell ref="CK736:CL736"/>
    <mergeCell ref="W624:Y626"/>
    <mergeCell ref="P663:R663"/>
    <mergeCell ref="X728:AB728"/>
    <mergeCell ref="O719:S719"/>
    <mergeCell ref="AO640:AS640"/>
    <mergeCell ref="W636:Y636"/>
    <mergeCell ref="CI717:CJ717"/>
    <mergeCell ref="AA680:AK680"/>
    <mergeCell ref="Q638:S638"/>
    <mergeCell ref="H648:R648"/>
    <mergeCell ref="O722:S722"/>
    <mergeCell ref="AO632:AS632"/>
    <mergeCell ref="H672:R672"/>
    <mergeCell ref="CI719:CJ719"/>
    <mergeCell ref="CI733:CJ733"/>
    <mergeCell ref="CG719:CH719"/>
    <mergeCell ref="CI721:CJ721"/>
    <mergeCell ref="CI735:CJ735"/>
    <mergeCell ref="CK735:CL735"/>
    <mergeCell ref="AH720:AJ720"/>
    <mergeCell ref="G644:R644"/>
    <mergeCell ref="P655:R655"/>
    <mergeCell ref="J704:X704"/>
    <mergeCell ref="T714:W717"/>
    <mergeCell ref="H664:R664"/>
    <mergeCell ref="AA648:AK648"/>
    <mergeCell ref="G719:J719"/>
    <mergeCell ref="G728:J728"/>
    <mergeCell ref="Z654:AK654"/>
    <mergeCell ref="AF636:AJ636"/>
    <mergeCell ref="AF637:AJ637"/>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G679:L679"/>
    <mergeCell ref="AK722:AO722"/>
    <mergeCell ref="AH721:AJ721"/>
    <mergeCell ref="AK719:AO719"/>
    <mergeCell ref="G684:R684"/>
    <mergeCell ref="DJ730:DN730"/>
    <mergeCell ref="X727:AB727"/>
    <mergeCell ref="DJ725:DN725"/>
    <mergeCell ref="DE725:DI725"/>
    <mergeCell ref="CU727:CY727"/>
    <mergeCell ref="CK724:CL724"/>
    <mergeCell ref="DE730:DI730"/>
    <mergeCell ref="CM730:CN730"/>
    <mergeCell ref="CK727:CL727"/>
    <mergeCell ref="DE729:DI729"/>
    <mergeCell ref="AH727:AJ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P726:CT726"/>
    <mergeCell ref="CG735:CH735"/>
    <mergeCell ref="CM725:CN725"/>
    <mergeCell ref="CK730:CL730"/>
    <mergeCell ref="CP731:CT731"/>
    <mergeCell ref="CI729:CJ729"/>
    <mergeCell ref="CP729:CT729"/>
    <mergeCell ref="CG725:CH725"/>
    <mergeCell ref="CI728:CJ728"/>
    <mergeCell ref="CP725:CT725"/>
    <mergeCell ref="CU740:CY740"/>
    <mergeCell ref="CG740:CH740"/>
    <mergeCell ref="CK737:CL737"/>
    <mergeCell ref="CG732:CH732"/>
    <mergeCell ref="CP734:CT734"/>
    <mergeCell ref="CK738:CL738"/>
    <mergeCell ref="CP751:CT751"/>
    <mergeCell ref="CM751:CN751"/>
    <mergeCell ref="CZ725:DD725"/>
    <mergeCell ref="DE722:DI722"/>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I726:CJ726"/>
    <mergeCell ref="CG726:CH726"/>
    <mergeCell ref="CM727:CN727"/>
    <mergeCell ref="CK726:CL726"/>
    <mergeCell ref="DE732:DI732"/>
    <mergeCell ref="CM732:CN732"/>
    <mergeCell ref="CM723:CN723"/>
    <mergeCell ref="CM724:CN724"/>
    <mergeCell ref="CP723:CT723"/>
    <mergeCell ref="DE726:DI726"/>
    <mergeCell ref="CZ724:DD724"/>
    <mergeCell ref="CU736:CY736"/>
    <mergeCell ref="DE734:DI734"/>
    <mergeCell ref="CG737:CH737"/>
    <mergeCell ref="CZ729:DD729"/>
    <mergeCell ref="CG733:CH733"/>
    <mergeCell ref="CU722:CY722"/>
    <mergeCell ref="CZ722:DD722"/>
    <mergeCell ref="CZ723:DD723"/>
    <mergeCell ref="DE731:DI731"/>
    <mergeCell ref="CI723:CJ723"/>
    <mergeCell ref="N649:O649"/>
    <mergeCell ref="Z655:AE655"/>
    <mergeCell ref="CI731:CJ731"/>
    <mergeCell ref="AG673:AH673"/>
    <mergeCell ref="H680:R680"/>
    <mergeCell ref="Z668:AK668"/>
    <mergeCell ref="G676:R676"/>
    <mergeCell ref="AK721:AO721"/>
    <mergeCell ref="G675:R675"/>
    <mergeCell ref="O731:S731"/>
    <mergeCell ref="AK730:AO730"/>
    <mergeCell ref="AC730:AG730"/>
    <mergeCell ref="X725:AB725"/>
    <mergeCell ref="O725:S725"/>
    <mergeCell ref="O726:S726"/>
    <mergeCell ref="AH726:AJ726"/>
    <mergeCell ref="O718:S718"/>
    <mergeCell ref="O735:S735"/>
    <mergeCell ref="DE739:DI739"/>
    <mergeCell ref="CP728:CT728"/>
    <mergeCell ref="CU728:CY728"/>
    <mergeCell ref="CK732:CL732"/>
    <mergeCell ref="B729:F729"/>
    <mergeCell ref="G723:J723"/>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AH719:AJ719"/>
    <mergeCell ref="CI739:CJ739"/>
    <mergeCell ref="CK725:CL725"/>
    <mergeCell ref="CI734:CJ734"/>
    <mergeCell ref="J705:O705"/>
    <mergeCell ref="T738:W738"/>
    <mergeCell ref="G730:J730"/>
    <mergeCell ref="G726:J726"/>
    <mergeCell ref="K728:N728"/>
    <mergeCell ref="K719:N719"/>
    <mergeCell ref="G720:J720"/>
    <mergeCell ref="CK734:CL734"/>
    <mergeCell ref="CM734:CN734"/>
    <mergeCell ref="P647:R647"/>
    <mergeCell ref="AI647:AK647"/>
    <mergeCell ref="G654:R654"/>
    <mergeCell ref="G653:R653"/>
    <mergeCell ref="AE696:AI696"/>
    <mergeCell ref="G670:R670"/>
    <mergeCell ref="Z669:AK669"/>
    <mergeCell ref="E707:AK707"/>
    <mergeCell ref="W706:AK706"/>
    <mergeCell ref="AG689:AH689"/>
    <mergeCell ref="B728:F728"/>
    <mergeCell ref="B723:F723"/>
    <mergeCell ref="K729:N729"/>
    <mergeCell ref="B730:F730"/>
    <mergeCell ref="G729:J729"/>
    <mergeCell ref="K730:N730"/>
    <mergeCell ref="G725:J725"/>
    <mergeCell ref="K722:N722"/>
    <mergeCell ref="B725:F725"/>
    <mergeCell ref="B726:F726"/>
    <mergeCell ref="G724:J724"/>
    <mergeCell ref="B722:F722"/>
    <mergeCell ref="T721:W721"/>
    <mergeCell ref="AC721:AG721"/>
    <mergeCell ref="G677:R677"/>
    <mergeCell ref="Z678:AK678"/>
    <mergeCell ref="AH749:AJ749"/>
    <mergeCell ref="AH739:AJ739"/>
    <mergeCell ref="AH740:AJ740"/>
    <mergeCell ref="W843:AC843"/>
    <mergeCell ref="O730:S730"/>
    <mergeCell ref="T742:W742"/>
    <mergeCell ref="X745:AB745"/>
    <mergeCell ref="X746:AB746"/>
    <mergeCell ref="AI655:AK655"/>
    <mergeCell ref="G662:R662"/>
    <mergeCell ref="Q832:T832"/>
    <mergeCell ref="AG830:AJ830"/>
    <mergeCell ref="U832:X832"/>
    <mergeCell ref="M832:P832"/>
    <mergeCell ref="W842:AC842"/>
    <mergeCell ref="AC789:AG789"/>
    <mergeCell ref="AC790:AG790"/>
    <mergeCell ref="Z818:AE818"/>
    <mergeCell ref="T795:W795"/>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B733:F733"/>
    <mergeCell ref="B731:F731"/>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F931:T931"/>
    <mergeCell ref="U936:Z936"/>
    <mergeCell ref="F944:T944"/>
    <mergeCell ref="U944:Z944"/>
    <mergeCell ref="F940:T940"/>
    <mergeCell ref="U939:Z939"/>
    <mergeCell ref="U940:Z940"/>
    <mergeCell ref="AA938:AF938"/>
    <mergeCell ref="BD902:BE902"/>
    <mergeCell ref="BD900:BE900"/>
    <mergeCell ref="BD899:BE899"/>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W853:AC853"/>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J779:K779"/>
    <mergeCell ref="J787:N787"/>
    <mergeCell ref="T796:W796"/>
    <mergeCell ref="M823:P824"/>
    <mergeCell ref="Y827:AB827"/>
    <mergeCell ref="AG827:AJ827"/>
    <mergeCell ref="Z817:AE817"/>
    <mergeCell ref="Z806:AE806"/>
    <mergeCell ref="X791:AB791"/>
    <mergeCell ref="X774:AB774"/>
    <mergeCell ref="J788:N788"/>
    <mergeCell ref="T773:W773"/>
    <mergeCell ref="C826:H826"/>
    <mergeCell ref="AC828:AF828"/>
    <mergeCell ref="AG825:AJ825"/>
    <mergeCell ref="K752:N752"/>
    <mergeCell ref="J774:N774"/>
    <mergeCell ref="O756:R756"/>
    <mergeCell ref="M827:P827"/>
    <mergeCell ref="J797:N797"/>
    <mergeCell ref="J795:N795"/>
    <mergeCell ref="AC774:AG774"/>
    <mergeCell ref="X777:AB777"/>
    <mergeCell ref="O723:S723"/>
    <mergeCell ref="X723:AB723"/>
    <mergeCell ref="T719:W719"/>
    <mergeCell ref="O724:S724"/>
    <mergeCell ref="T725:W725"/>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C825:H825"/>
    <mergeCell ref="W560:Y560"/>
    <mergeCell ref="P572:R572"/>
    <mergeCell ref="AI605:AK605"/>
    <mergeCell ref="G604:R604"/>
    <mergeCell ref="G577:R577"/>
    <mergeCell ref="M558:P55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N599:O599"/>
    <mergeCell ref="AA590:AK590"/>
    <mergeCell ref="AI589:AK589"/>
    <mergeCell ref="Z596:AK596"/>
    <mergeCell ref="H598:R598"/>
    <mergeCell ref="AG583:AH583"/>
    <mergeCell ref="G588:R588"/>
    <mergeCell ref="Z580:AK580"/>
    <mergeCell ref="Z578:AK578"/>
    <mergeCell ref="C564:L564"/>
    <mergeCell ref="M564:P564"/>
    <mergeCell ref="P581:R581"/>
    <mergeCell ref="AA582:AK582"/>
    <mergeCell ref="AA336:AK336"/>
    <mergeCell ref="H333:R333"/>
    <mergeCell ref="Q493:AK493"/>
    <mergeCell ref="AC502:AF502"/>
    <mergeCell ref="B514:H516"/>
    <mergeCell ref="B517:H519"/>
    <mergeCell ref="D406:AJ407"/>
    <mergeCell ref="D445:AF445"/>
    <mergeCell ref="D451:AJ452"/>
    <mergeCell ref="AH512:AK512"/>
    <mergeCell ref="AH520:AK520"/>
    <mergeCell ref="AC537:AF537"/>
    <mergeCell ref="O526:AA526"/>
    <mergeCell ref="AC529:AF529"/>
    <mergeCell ref="AH530:AK530"/>
    <mergeCell ref="Z556:AD556"/>
    <mergeCell ref="AI555:AL555"/>
    <mergeCell ref="AI556:AL556"/>
    <mergeCell ref="Q389:U389"/>
    <mergeCell ref="AJ357:AK357"/>
    <mergeCell ref="D444:AF444"/>
    <mergeCell ref="M358:N358"/>
    <mergeCell ref="AH519:AK519"/>
    <mergeCell ref="AH536:AK536"/>
    <mergeCell ref="AG448:AJ448"/>
    <mergeCell ref="AH528:AK528"/>
    <mergeCell ref="AH509:AK509"/>
    <mergeCell ref="AE556:AH556"/>
    <mergeCell ref="AC503:AF503"/>
    <mergeCell ref="AC513:AF513"/>
    <mergeCell ref="AC518:AF518"/>
    <mergeCell ref="AH504:AK504"/>
    <mergeCell ref="D471:V471"/>
    <mergeCell ref="O532:AA532"/>
    <mergeCell ref="B551:L553"/>
    <mergeCell ref="Z559:AD559"/>
    <mergeCell ref="Z562:AD562"/>
    <mergeCell ref="AH505:AK505"/>
    <mergeCell ref="W561:Y561"/>
    <mergeCell ref="W562:Y562"/>
    <mergeCell ref="AE558:AH558"/>
    <mergeCell ref="C557:L557"/>
    <mergeCell ref="C560:L560"/>
    <mergeCell ref="Z560:AD560"/>
    <mergeCell ref="T560:V560"/>
    <mergeCell ref="Z561:AD561"/>
    <mergeCell ref="M562:P562"/>
    <mergeCell ref="AI561:AL561"/>
    <mergeCell ref="AE561:AH561"/>
    <mergeCell ref="M560:P560"/>
    <mergeCell ref="AH517:AK517"/>
    <mergeCell ref="W471:Y471"/>
    <mergeCell ref="Q560:S560"/>
    <mergeCell ref="AH501:AK501"/>
    <mergeCell ref="G474:V474"/>
    <mergeCell ref="AH526:AK526"/>
    <mergeCell ref="M561:P561"/>
    <mergeCell ref="Z558:AD558"/>
    <mergeCell ref="Q561:S561"/>
    <mergeCell ref="W554:Y554"/>
    <mergeCell ref="Q554:S554"/>
    <mergeCell ref="Q558:S558"/>
    <mergeCell ref="T558:V558"/>
    <mergeCell ref="W558:Y558"/>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AC520:AF520"/>
    <mergeCell ref="AC527:AF527"/>
    <mergeCell ref="P418:R418"/>
    <mergeCell ref="Q492:AK49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D473:V473"/>
    <mergeCell ref="D470:V470"/>
    <mergeCell ref="D438:AF438"/>
    <mergeCell ref="H314:R314"/>
    <mergeCell ref="H316:M316"/>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P339:R339"/>
    <mergeCell ref="AA341:AK341"/>
    <mergeCell ref="E368:AH369"/>
    <mergeCell ref="Q365:AG365"/>
    <mergeCell ref="H340:M340"/>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S402:U402"/>
    <mergeCell ref="AF418:AH418"/>
    <mergeCell ref="AC528:AF528"/>
    <mergeCell ref="C554:L554"/>
    <mergeCell ref="D446:AF446"/>
    <mergeCell ref="D447:AF447"/>
    <mergeCell ref="W466:Y466"/>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AC521:AF521"/>
    <mergeCell ref="AH527:AK527"/>
    <mergeCell ref="AC517:AF517"/>
    <mergeCell ref="AC504:AF504"/>
    <mergeCell ref="W551:Y553"/>
    <mergeCell ref="AH521:AK521"/>
    <mergeCell ref="AC530:AF530"/>
    <mergeCell ref="Z555:AD555"/>
    <mergeCell ref="O535:AA535"/>
    <mergeCell ref="AH523:AK523"/>
    <mergeCell ref="AE554:AH554"/>
    <mergeCell ref="I421:K421"/>
    <mergeCell ref="AH524:AK524"/>
    <mergeCell ref="AH525:AK525"/>
    <mergeCell ref="C562:L562"/>
    <mergeCell ref="D449:AF449"/>
    <mergeCell ref="AH529:AK529"/>
    <mergeCell ref="AH534:AK534"/>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AF630:AJ630"/>
    <mergeCell ref="G685:R685"/>
    <mergeCell ref="M635:P635"/>
    <mergeCell ref="CK723:CL723"/>
    <mergeCell ref="CK721:CL721"/>
    <mergeCell ref="CM726:CN726"/>
    <mergeCell ref="CM718:CN718"/>
    <mergeCell ref="CI732:CJ732"/>
    <mergeCell ref="CM728:CN728"/>
    <mergeCell ref="G646:R646"/>
    <mergeCell ref="CU776:CY776"/>
    <mergeCell ref="CP750:CT750"/>
    <mergeCell ref="CU750:CY750"/>
    <mergeCell ref="AM560:AS560"/>
    <mergeCell ref="AM557:AS557"/>
    <mergeCell ref="AH745:AJ745"/>
    <mergeCell ref="AH746:AJ746"/>
    <mergeCell ref="AH747:AJ747"/>
    <mergeCell ref="AH748:AJ748"/>
    <mergeCell ref="Z659:AK659"/>
    <mergeCell ref="CG734:CH734"/>
    <mergeCell ref="CP739:CT739"/>
    <mergeCell ref="CM738:CN738"/>
    <mergeCell ref="AK634:AN634"/>
    <mergeCell ref="AK635:AN635"/>
    <mergeCell ref="Z652:AK652"/>
    <mergeCell ref="G714:J717"/>
    <mergeCell ref="G668:R668"/>
    <mergeCell ref="CU726:CY726"/>
    <mergeCell ref="Z569:AK569"/>
    <mergeCell ref="N607:O607"/>
    <mergeCell ref="G593:R593"/>
    <mergeCell ref="G605:L605"/>
    <mergeCell ref="H606:R606"/>
    <mergeCell ref="AI597:AK597"/>
    <mergeCell ref="C565:L565"/>
    <mergeCell ref="Z570:AK570"/>
    <mergeCell ref="B566:AL566"/>
    <mergeCell ref="AE560:AH560"/>
    <mergeCell ref="N575:O575"/>
    <mergeCell ref="M637:P637"/>
    <mergeCell ref="G571:R571"/>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T565:V565"/>
    <mergeCell ref="AI563:AL563"/>
    <mergeCell ref="Z563:AD563"/>
    <mergeCell ref="AF628:AJ628"/>
    <mergeCell ref="T627:V627"/>
    <mergeCell ref="T628:V628"/>
    <mergeCell ref="W628:Y628"/>
    <mergeCell ref="W627:Y627"/>
    <mergeCell ref="T722:W722"/>
    <mergeCell ref="Z677:AK677"/>
    <mergeCell ref="AG681:AH681"/>
    <mergeCell ref="AI687:AK687"/>
    <mergeCell ref="CK746:CL746"/>
    <mergeCell ref="CM746:CN746"/>
    <mergeCell ref="CG739:CH739"/>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D468:V468"/>
    <mergeCell ref="AC512:AF512"/>
    <mergeCell ref="B489:P490"/>
    <mergeCell ref="AC506:AF506"/>
    <mergeCell ref="Q489:R490"/>
    <mergeCell ref="Q488:AK488"/>
    <mergeCell ref="AC514:AF514"/>
    <mergeCell ref="V377:W377"/>
    <mergeCell ref="S377:T377"/>
    <mergeCell ref="D437:AF437"/>
    <mergeCell ref="D442:AF442"/>
    <mergeCell ref="AF430:AG430"/>
    <mergeCell ref="AG437:AJ437"/>
    <mergeCell ref="J388:U388"/>
    <mergeCell ref="AG449:AJ449"/>
    <mergeCell ref="AG446:AJ446"/>
    <mergeCell ref="AG438:AJ438"/>
    <mergeCell ref="B501:H502"/>
    <mergeCell ref="O523:AA523"/>
    <mergeCell ref="Z551:AD553"/>
    <mergeCell ref="AH513:AK513"/>
    <mergeCell ref="AC531:AF531"/>
    <mergeCell ref="AC539:AF539"/>
    <mergeCell ref="L508:AB508"/>
    <mergeCell ref="N583:O583"/>
    <mergeCell ref="AI560:AL560"/>
    <mergeCell ref="O520:AA520"/>
    <mergeCell ref="AE555:AH555"/>
    <mergeCell ref="AH518:AK518"/>
    <mergeCell ref="AH514:AK514"/>
    <mergeCell ref="AH539:AK539"/>
    <mergeCell ref="AH541:AK541"/>
    <mergeCell ref="AC535:AF535"/>
    <mergeCell ref="AI554:AL554"/>
    <mergeCell ref="AI558:AL558"/>
    <mergeCell ref="Q551:S553"/>
    <mergeCell ref="T551:V553"/>
    <mergeCell ref="Z557:AD557"/>
    <mergeCell ref="C555:L555"/>
    <mergeCell ref="C556:L556"/>
    <mergeCell ref="C559:L559"/>
    <mergeCell ref="M551:P553"/>
    <mergeCell ref="AC536:AF536"/>
    <mergeCell ref="AC542:AF542"/>
    <mergeCell ref="AH535:AK535"/>
    <mergeCell ref="AC510:AF510"/>
    <mergeCell ref="W467:Y467"/>
    <mergeCell ref="W470:Y470"/>
    <mergeCell ref="AG443:AJ443"/>
    <mergeCell ref="AG444:AJ444"/>
    <mergeCell ref="AC541:AF541"/>
    <mergeCell ref="D440:AF440"/>
    <mergeCell ref="AC526:AF526"/>
    <mergeCell ref="AE557:AH557"/>
    <mergeCell ref="T562:V562"/>
    <mergeCell ref="AH503:AK503"/>
    <mergeCell ref="AC500:AF500"/>
    <mergeCell ref="AH532:AK532"/>
    <mergeCell ref="AC522:AF522"/>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32:AF532"/>
    <mergeCell ref="M495:P495"/>
    <mergeCell ref="AC501:AF501"/>
    <mergeCell ref="AH538:AK538"/>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G570:R570"/>
    <mergeCell ref="M563:P563"/>
    <mergeCell ref="Q564:S56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T559:V559"/>
    <mergeCell ref="W559:Y559"/>
    <mergeCell ref="M559:P559"/>
    <mergeCell ref="T556:V556"/>
    <mergeCell ref="W556:Y556"/>
    <mergeCell ref="Q559:S559"/>
    <mergeCell ref="T557:V557"/>
    <mergeCell ref="W557:Y557"/>
    <mergeCell ref="T554:V554"/>
    <mergeCell ref="M557:P557"/>
    <mergeCell ref="Q556:S556"/>
    <mergeCell ref="Q557:S557"/>
    <mergeCell ref="M555:P555"/>
    <mergeCell ref="M554:P554"/>
    <mergeCell ref="M556:P556"/>
    <mergeCell ref="Q555:S555"/>
    <mergeCell ref="T555:V555"/>
    <mergeCell ref="W555:Y555"/>
    <mergeCell ref="T629:V629"/>
    <mergeCell ref="T630:V630"/>
    <mergeCell ref="W630:Y630"/>
    <mergeCell ref="W631:Y631"/>
    <mergeCell ref="W632:Y632"/>
    <mergeCell ref="Q627:S627"/>
    <mergeCell ref="Q628:S628"/>
    <mergeCell ref="Q629:S629"/>
    <mergeCell ref="Q630:S630"/>
    <mergeCell ref="T631:V631"/>
    <mergeCell ref="Q632:S632"/>
    <mergeCell ref="Q631:S631"/>
    <mergeCell ref="W629:Y629"/>
    <mergeCell ref="T632:V632"/>
    <mergeCell ref="M629:P629"/>
    <mergeCell ref="M630:P630"/>
    <mergeCell ref="M631:P631"/>
    <mergeCell ref="M627:P627"/>
    <mergeCell ref="M628:P628"/>
    <mergeCell ref="M632:P632"/>
    <mergeCell ref="M638:P638"/>
    <mergeCell ref="W638:Y638"/>
    <mergeCell ref="G683:R683"/>
    <mergeCell ref="N681:O681"/>
    <mergeCell ref="X719:AB719"/>
    <mergeCell ref="G686:R686"/>
    <mergeCell ref="N689:O689"/>
    <mergeCell ref="G678:R678"/>
    <mergeCell ref="P679:R679"/>
    <mergeCell ref="G661:R661"/>
    <mergeCell ref="B720:F720"/>
    <mergeCell ref="B721:F721"/>
    <mergeCell ref="C627:L627"/>
    <mergeCell ref="N673:O673"/>
    <mergeCell ref="G687:L687"/>
    <mergeCell ref="O714:S717"/>
    <mergeCell ref="B727:F727"/>
    <mergeCell ref="K720:N720"/>
    <mergeCell ref="G722:J722"/>
    <mergeCell ref="B724:F724"/>
    <mergeCell ref="G721:J721"/>
    <mergeCell ref="M633:P633"/>
    <mergeCell ref="K723:N723"/>
    <mergeCell ref="K725:N725"/>
    <mergeCell ref="K726:N726"/>
    <mergeCell ref="B719:F719"/>
    <mergeCell ref="G718:J718"/>
    <mergeCell ref="B718:F718"/>
    <mergeCell ref="K721:N721"/>
    <mergeCell ref="K727:N727"/>
    <mergeCell ref="K724:N724"/>
    <mergeCell ref="G727:J72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1" workbookViewId="0">
      <selection activeCell="G64" sqref="A64:G6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81" t="s">
        <v>622</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 xml:space="preserve">2)City of Eureka Land </v>
      </c>
      <c r="H2" s="139" t="str">
        <f>Application!B629&amp;Application!C629</f>
        <v xml:space="preserve">3)Developer Note </v>
      </c>
      <c r="I2" s="139" t="str">
        <f>Application!B630&amp;Application!C630</f>
        <v>4)HTA</v>
      </c>
      <c r="J2" s="139" t="str">
        <f>Application!B631&amp;Application!C631</f>
        <v>5)DDS-RCRC</v>
      </c>
      <c r="K2" s="139" t="str">
        <f>Application!B632&amp;Application!C632</f>
        <v xml:space="preserve">6)City of Eureka  </v>
      </c>
      <c r="L2" s="139" t="str">
        <f>Application!B633&amp;Application!C633</f>
        <v>7)CPLHA</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2100000</v>
      </c>
      <c r="C4" s="147">
        <v>1890000</v>
      </c>
      <c r="D4" s="147">
        <v>210000</v>
      </c>
      <c r="E4" s="147"/>
      <c r="F4" s="147"/>
      <c r="G4" s="147">
        <v>2100000</v>
      </c>
      <c r="H4" s="147"/>
      <c r="I4" s="147"/>
      <c r="J4" s="147"/>
      <c r="K4" s="147"/>
      <c r="L4" s="147"/>
      <c r="M4" s="147"/>
      <c r="N4" s="147"/>
      <c r="O4" s="147"/>
      <c r="P4" s="147"/>
      <c r="Q4" s="147"/>
      <c r="R4" s="516">
        <f>SUM(E4:Q4)</f>
        <v>2100000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2100000</v>
      </c>
      <c r="C8" s="146">
        <f t="shared" ref="C8:Q8" si="0">SUM(C4:C7)</f>
        <v>1890000</v>
      </c>
      <c r="D8" s="146">
        <f t="shared" si="0"/>
        <v>210000</v>
      </c>
      <c r="E8" s="146">
        <f t="shared" si="0"/>
        <v>0</v>
      </c>
      <c r="F8" s="146">
        <f t="shared" si="0"/>
        <v>0</v>
      </c>
      <c r="G8" s="146">
        <f t="shared" si="0"/>
        <v>2100000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2100000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2100000</v>
      </c>
      <c r="C12" s="146">
        <f t="shared" si="2"/>
        <v>1890000</v>
      </c>
      <c r="D12" s="146">
        <f t="shared" si="2"/>
        <v>210000</v>
      </c>
      <c r="E12" s="146">
        <f t="shared" si="2"/>
        <v>0</v>
      </c>
      <c r="F12" s="146">
        <f t="shared" si="2"/>
        <v>0</v>
      </c>
      <c r="G12" s="146">
        <f t="shared" si="2"/>
        <v>2100000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1425529</v>
      </c>
      <c r="C29" s="147">
        <v>1282976</v>
      </c>
      <c r="D29" s="147">
        <v>142553</v>
      </c>
      <c r="E29" s="147">
        <f>+B29-SUM(F29:L29)</f>
        <v>1282976</v>
      </c>
      <c r="F29" s="147"/>
      <c r="G29" s="147"/>
      <c r="H29" s="147"/>
      <c r="I29" s="147">
        <f>+D29</f>
        <v>142553</v>
      </c>
      <c r="J29" s="147"/>
      <c r="K29" s="147"/>
      <c r="L29" s="147"/>
      <c r="M29" s="147"/>
      <c r="N29" s="147"/>
      <c r="O29" s="147"/>
      <c r="P29" s="147"/>
      <c r="Q29" s="147"/>
      <c r="R29" s="516">
        <f t="shared" ref="R29:R37" si="7">SUM(E29:Q29)</f>
        <v>1425529</v>
      </c>
      <c r="S29" s="147">
        <f>+C29</f>
        <v>1282976</v>
      </c>
      <c r="T29" s="147"/>
      <c r="U29" s="143"/>
    </row>
    <row r="30" spans="1:21" s="144" customFormat="1">
      <c r="A30" s="145" t="s">
        <v>600</v>
      </c>
      <c r="B30" s="146">
        <f t="shared" si="6"/>
        <v>21729498</v>
      </c>
      <c r="C30" s="147">
        <v>19556548</v>
      </c>
      <c r="D30" s="147">
        <v>2172950</v>
      </c>
      <c r="E30" s="147">
        <f t="shared" ref="E30:E37" si="8">+B30-SUM(F30:L30)</f>
        <v>6013653</v>
      </c>
      <c r="F30" s="147">
        <f>+Application!AO627</f>
        <v>3364493</v>
      </c>
      <c r="G30" s="147"/>
      <c r="H30" s="147"/>
      <c r="I30" s="147">
        <f>12331000-979648</f>
        <v>11351352</v>
      </c>
      <c r="J30" s="147">
        <v>1000000</v>
      </c>
      <c r="K30" s="147"/>
      <c r="L30" s="147"/>
      <c r="M30" s="147"/>
      <c r="N30" s="147"/>
      <c r="O30" s="147"/>
      <c r="P30" s="147"/>
      <c r="Q30" s="147"/>
      <c r="R30" s="516">
        <f t="shared" si="7"/>
        <v>21729498</v>
      </c>
      <c r="S30" s="147">
        <f t="shared" ref="S30:S36" si="9">+C30</f>
        <v>19556548</v>
      </c>
      <c r="T30" s="147"/>
      <c r="U30" s="143"/>
    </row>
    <row r="31" spans="1:21" s="144" customFormat="1">
      <c r="A31" s="145" t="s">
        <v>601</v>
      </c>
      <c r="B31" s="146">
        <f t="shared" si="6"/>
        <v>1389301</v>
      </c>
      <c r="C31" s="147">
        <v>1250371</v>
      </c>
      <c r="D31" s="147">
        <v>138930</v>
      </c>
      <c r="E31" s="147">
        <f t="shared" si="8"/>
        <v>1250371</v>
      </c>
      <c r="F31" s="147"/>
      <c r="G31" s="147"/>
      <c r="H31" s="147"/>
      <c r="I31" s="147">
        <f t="shared" ref="I31:I37" si="10">+D31</f>
        <v>138930</v>
      </c>
      <c r="J31" s="147"/>
      <c r="K31" s="147"/>
      <c r="L31" s="147"/>
      <c r="M31" s="147"/>
      <c r="N31" s="147"/>
      <c r="O31" s="147"/>
      <c r="P31" s="147"/>
      <c r="Q31" s="147"/>
      <c r="R31" s="516">
        <f t="shared" si="7"/>
        <v>1389301</v>
      </c>
      <c r="S31" s="147">
        <f t="shared" si="9"/>
        <v>1250371</v>
      </c>
      <c r="T31" s="147"/>
      <c r="U31" s="143"/>
    </row>
    <row r="32" spans="1:21" s="144" customFormat="1">
      <c r="A32" s="145" t="s">
        <v>137</v>
      </c>
      <c r="B32" s="146">
        <f t="shared" si="6"/>
        <v>490887</v>
      </c>
      <c r="C32" s="147">
        <v>441798</v>
      </c>
      <c r="D32" s="147">
        <v>49089</v>
      </c>
      <c r="E32" s="147">
        <f t="shared" si="8"/>
        <v>441798</v>
      </c>
      <c r="F32" s="147"/>
      <c r="G32" s="147"/>
      <c r="H32" s="147"/>
      <c r="I32" s="147">
        <f t="shared" si="10"/>
        <v>49089</v>
      </c>
      <c r="J32" s="147"/>
      <c r="K32" s="147"/>
      <c r="L32" s="147"/>
      <c r="M32" s="147"/>
      <c r="N32" s="147"/>
      <c r="O32" s="147"/>
      <c r="P32" s="147"/>
      <c r="Q32" s="147"/>
      <c r="R32" s="516">
        <f t="shared" si="7"/>
        <v>490887</v>
      </c>
      <c r="S32" s="147">
        <f t="shared" si="9"/>
        <v>441798</v>
      </c>
      <c r="T32" s="147"/>
      <c r="U32" s="143"/>
    </row>
    <row r="33" spans="1:21" s="144" customFormat="1">
      <c r="A33" s="145" t="s">
        <v>138</v>
      </c>
      <c r="B33" s="146">
        <f t="shared" si="6"/>
        <v>1472660</v>
      </c>
      <c r="C33" s="147">
        <v>1325394</v>
      </c>
      <c r="D33" s="147">
        <v>147266</v>
      </c>
      <c r="E33" s="147">
        <f t="shared" si="8"/>
        <v>1325394</v>
      </c>
      <c r="F33" s="147"/>
      <c r="G33" s="147"/>
      <c r="H33" s="147"/>
      <c r="I33" s="147">
        <f t="shared" si="10"/>
        <v>147266</v>
      </c>
      <c r="J33" s="147"/>
      <c r="K33" s="147"/>
      <c r="L33" s="147"/>
      <c r="M33" s="147"/>
      <c r="N33" s="147"/>
      <c r="O33" s="147"/>
      <c r="P33" s="147"/>
      <c r="Q33" s="147"/>
      <c r="R33" s="516">
        <f t="shared" si="7"/>
        <v>1472660</v>
      </c>
      <c r="S33" s="147">
        <f t="shared" si="9"/>
        <v>1325394</v>
      </c>
      <c r="T33" s="147"/>
      <c r="U33" s="143"/>
    </row>
    <row r="34" spans="1:21" s="144" customFormat="1">
      <c r="A34" s="145" t="s">
        <v>139</v>
      </c>
      <c r="B34" s="146">
        <f t="shared" si="6"/>
        <v>0</v>
      </c>
      <c r="C34" s="147"/>
      <c r="D34" s="147"/>
      <c r="E34" s="147">
        <f t="shared" si="8"/>
        <v>0</v>
      </c>
      <c r="F34" s="147"/>
      <c r="G34" s="147"/>
      <c r="H34" s="147"/>
      <c r="I34" s="147">
        <f t="shared" si="10"/>
        <v>0</v>
      </c>
      <c r="J34" s="147"/>
      <c r="K34" s="147"/>
      <c r="L34" s="147"/>
      <c r="M34" s="147"/>
      <c r="N34" s="147"/>
      <c r="O34" s="147"/>
      <c r="P34" s="147"/>
      <c r="Q34" s="147"/>
      <c r="R34" s="516">
        <f t="shared" si="7"/>
        <v>0</v>
      </c>
      <c r="S34" s="147">
        <f t="shared" si="9"/>
        <v>0</v>
      </c>
      <c r="T34" s="147"/>
      <c r="U34" s="143"/>
    </row>
    <row r="35" spans="1:21" s="144" customFormat="1">
      <c r="A35" s="145" t="s">
        <v>140</v>
      </c>
      <c r="B35" s="146">
        <f t="shared" si="6"/>
        <v>795237</v>
      </c>
      <c r="C35" s="147">
        <v>715713</v>
      </c>
      <c r="D35" s="147">
        <v>79524</v>
      </c>
      <c r="E35" s="147">
        <f t="shared" si="8"/>
        <v>715713</v>
      </c>
      <c r="F35" s="147"/>
      <c r="G35" s="147"/>
      <c r="H35" s="147"/>
      <c r="I35" s="147">
        <f t="shared" si="10"/>
        <v>79524</v>
      </c>
      <c r="J35" s="147"/>
      <c r="K35" s="147"/>
      <c r="L35" s="147"/>
      <c r="M35" s="147"/>
      <c r="N35" s="147"/>
      <c r="O35" s="147"/>
      <c r="P35" s="147"/>
      <c r="Q35" s="147"/>
      <c r="R35" s="516">
        <f t="shared" si="7"/>
        <v>795237</v>
      </c>
      <c r="S35" s="147">
        <f t="shared" si="9"/>
        <v>715713</v>
      </c>
      <c r="T35" s="147"/>
      <c r="U35" s="143"/>
    </row>
    <row r="36" spans="1:21" s="144" customFormat="1">
      <c r="A36" s="283" t="s">
        <v>1641</v>
      </c>
      <c r="B36" s="146">
        <f t="shared" si="6"/>
        <v>0</v>
      </c>
      <c r="C36" s="147"/>
      <c r="D36" s="147"/>
      <c r="E36" s="147">
        <f t="shared" si="8"/>
        <v>0</v>
      </c>
      <c r="F36" s="147"/>
      <c r="G36" s="147"/>
      <c r="H36" s="147"/>
      <c r="I36" s="147">
        <f t="shared" si="10"/>
        <v>0</v>
      </c>
      <c r="J36" s="147"/>
      <c r="K36" s="147"/>
      <c r="L36" s="147"/>
      <c r="M36" s="147"/>
      <c r="N36" s="147"/>
      <c r="O36" s="147"/>
      <c r="P36" s="147"/>
      <c r="Q36" s="147"/>
      <c r="R36" s="516">
        <f t="shared" si="7"/>
        <v>0</v>
      </c>
      <c r="S36" s="147">
        <f t="shared" si="9"/>
        <v>0</v>
      </c>
      <c r="T36" s="147"/>
      <c r="U36" s="143"/>
    </row>
    <row r="37" spans="1:21" s="144" customFormat="1">
      <c r="A37" s="1149" t="s">
        <v>34</v>
      </c>
      <c r="B37" s="146">
        <f t="shared" si="6"/>
        <v>0</v>
      </c>
      <c r="C37" s="147"/>
      <c r="D37" s="147"/>
      <c r="E37" s="147">
        <f t="shared" si="8"/>
        <v>0</v>
      </c>
      <c r="F37" s="147"/>
      <c r="G37" s="147"/>
      <c r="H37" s="147"/>
      <c r="I37" s="147">
        <f t="shared" si="10"/>
        <v>0</v>
      </c>
      <c r="J37" s="147"/>
      <c r="K37" s="147"/>
      <c r="L37" s="147"/>
      <c r="M37" s="147"/>
      <c r="N37" s="147"/>
      <c r="O37" s="147"/>
      <c r="P37" s="147"/>
      <c r="Q37" s="147"/>
      <c r="R37" s="516">
        <f t="shared" si="7"/>
        <v>0</v>
      </c>
      <c r="S37" s="147"/>
      <c r="T37" s="147"/>
      <c r="U37" s="143"/>
    </row>
    <row r="38" spans="1:21" s="144" customFormat="1" ht="12">
      <c r="A38" s="149" t="s">
        <v>143</v>
      </c>
      <c r="B38" s="146">
        <f t="shared" si="6"/>
        <v>27303112</v>
      </c>
      <c r="C38" s="146">
        <f>SUM(C29:C37)</f>
        <v>24572800</v>
      </c>
      <c r="D38" s="146">
        <f t="shared" ref="D38:Q38" si="11">SUM(D29:D37)</f>
        <v>2730312</v>
      </c>
      <c r="E38" s="146">
        <f t="shared" si="11"/>
        <v>11029905</v>
      </c>
      <c r="F38" s="146">
        <f t="shared" si="11"/>
        <v>3364493</v>
      </c>
      <c r="G38" s="146">
        <f t="shared" si="11"/>
        <v>0</v>
      </c>
      <c r="H38" s="146">
        <f t="shared" si="11"/>
        <v>0</v>
      </c>
      <c r="I38" s="146">
        <f t="shared" si="11"/>
        <v>11908714</v>
      </c>
      <c r="J38" s="146">
        <f t="shared" si="11"/>
        <v>1000000</v>
      </c>
      <c r="K38" s="146">
        <f t="shared" si="11"/>
        <v>0</v>
      </c>
      <c r="L38" s="146">
        <f t="shared" si="11"/>
        <v>0</v>
      </c>
      <c r="M38" s="146">
        <f t="shared" si="11"/>
        <v>0</v>
      </c>
      <c r="N38" s="146">
        <f t="shared" si="11"/>
        <v>0</v>
      </c>
      <c r="O38" s="146">
        <f t="shared" si="11"/>
        <v>0</v>
      </c>
      <c r="P38" s="146">
        <f t="shared" si="11"/>
        <v>0</v>
      </c>
      <c r="Q38" s="146">
        <f t="shared" si="11"/>
        <v>0</v>
      </c>
      <c r="R38" s="342">
        <f>SUM(R29:R37)</f>
        <v>27303112</v>
      </c>
      <c r="S38" s="150">
        <f>SUM(S29:S37)</f>
        <v>24572800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530158</v>
      </c>
      <c r="C40" s="147">
        <v>477142</v>
      </c>
      <c r="D40" s="147">
        <v>53016</v>
      </c>
      <c r="E40" s="147">
        <f t="shared" ref="E40:E41" si="12">+B40-SUM(F40:L40)</f>
        <v>174554</v>
      </c>
      <c r="F40" s="147"/>
      <c r="G40" s="147"/>
      <c r="H40" s="147"/>
      <c r="I40" s="147">
        <f t="shared" ref="I40:I41" si="13">+D40</f>
        <v>53016</v>
      </c>
      <c r="J40" s="147"/>
      <c r="K40" s="147"/>
      <c r="L40" s="147">
        <f>302579+6-1+4</f>
        <v>302588</v>
      </c>
      <c r="M40" s="147"/>
      <c r="N40" s="147"/>
      <c r="O40" s="147"/>
      <c r="P40" s="147"/>
      <c r="Q40" s="147"/>
      <c r="R40" s="516">
        <f>SUM(E40:Q40)</f>
        <v>530158</v>
      </c>
      <c r="S40" s="147">
        <f t="shared" ref="S40:S41" si="14">+C40</f>
        <v>477142</v>
      </c>
      <c r="T40" s="147"/>
      <c r="U40" s="143"/>
    </row>
    <row r="41" spans="1:21" s="144" customFormat="1">
      <c r="A41" s="145" t="s">
        <v>146</v>
      </c>
      <c r="B41" s="146">
        <f>SUM(C41+D41)</f>
        <v>530158</v>
      </c>
      <c r="C41" s="147">
        <v>477142</v>
      </c>
      <c r="D41" s="147">
        <v>53016</v>
      </c>
      <c r="E41" s="147">
        <f t="shared" si="12"/>
        <v>477142</v>
      </c>
      <c r="F41" s="147"/>
      <c r="G41" s="147"/>
      <c r="H41" s="147"/>
      <c r="I41" s="147">
        <f t="shared" si="13"/>
        <v>53016</v>
      </c>
      <c r="J41" s="147"/>
      <c r="K41" s="147"/>
      <c r="L41" s="147"/>
      <c r="M41" s="147"/>
      <c r="N41" s="147"/>
      <c r="O41" s="147"/>
      <c r="P41" s="147"/>
      <c r="Q41" s="147"/>
      <c r="R41" s="516">
        <f>SUM(E41:Q41)</f>
        <v>530158</v>
      </c>
      <c r="S41" s="147">
        <f t="shared" si="14"/>
        <v>477142</v>
      </c>
      <c r="T41" s="147"/>
      <c r="U41" s="143"/>
    </row>
    <row r="42" spans="1:21" s="144" customFormat="1" ht="12">
      <c r="A42" s="149" t="s">
        <v>147</v>
      </c>
      <c r="B42" s="146">
        <f>SUM(C42:D42)</f>
        <v>1060316</v>
      </c>
      <c r="C42" s="146">
        <f>SUM(C39:C41)</f>
        <v>954284</v>
      </c>
      <c r="D42" s="146">
        <f>SUM(D39:D41)</f>
        <v>106032</v>
      </c>
      <c r="E42" s="146">
        <f t="shared" ref="E42:T42" si="15">SUM(E40:E41)</f>
        <v>651696</v>
      </c>
      <c r="F42" s="146">
        <f t="shared" si="15"/>
        <v>0</v>
      </c>
      <c r="G42" s="146">
        <f t="shared" si="15"/>
        <v>0</v>
      </c>
      <c r="H42" s="146">
        <f t="shared" si="15"/>
        <v>0</v>
      </c>
      <c r="I42" s="146">
        <f t="shared" si="15"/>
        <v>106032</v>
      </c>
      <c r="J42" s="146">
        <f t="shared" si="15"/>
        <v>0</v>
      </c>
      <c r="K42" s="146">
        <f t="shared" si="15"/>
        <v>0</v>
      </c>
      <c r="L42" s="146">
        <f t="shared" si="15"/>
        <v>302588</v>
      </c>
      <c r="M42" s="146">
        <f t="shared" si="15"/>
        <v>0</v>
      </c>
      <c r="N42" s="146">
        <f t="shared" si="15"/>
        <v>0</v>
      </c>
      <c r="O42" s="146">
        <f t="shared" si="15"/>
        <v>0</v>
      </c>
      <c r="P42" s="146">
        <f t="shared" si="15"/>
        <v>0</v>
      </c>
      <c r="Q42" s="146">
        <f t="shared" si="15"/>
        <v>0</v>
      </c>
      <c r="R42" s="342">
        <f>SUM(R40:R41)</f>
        <v>1060316</v>
      </c>
      <c r="S42" s="150">
        <f t="shared" si="15"/>
        <v>954284</v>
      </c>
      <c r="T42" s="150">
        <f t="shared" si="15"/>
        <v>0</v>
      </c>
      <c r="U42" s="143"/>
    </row>
    <row r="43" spans="1:21" s="144" customFormat="1" ht="12">
      <c r="A43" s="149" t="s">
        <v>148</v>
      </c>
      <c r="B43" s="146">
        <f>SUM(C43:D43)</f>
        <v>250000</v>
      </c>
      <c r="C43" s="147">
        <v>225000</v>
      </c>
      <c r="D43" s="147">
        <v>25000</v>
      </c>
      <c r="E43" s="147">
        <f t="shared" ref="E43:E53" si="16">+B43-SUM(F43:L43)</f>
        <v>225000</v>
      </c>
      <c r="F43" s="147"/>
      <c r="G43" s="147"/>
      <c r="H43" s="147"/>
      <c r="I43" s="147">
        <f t="shared" ref="I43:I53" si="17">+D43</f>
        <v>25000</v>
      </c>
      <c r="J43" s="147"/>
      <c r="K43" s="147"/>
      <c r="L43" s="147"/>
      <c r="M43" s="147"/>
      <c r="N43" s="147"/>
      <c r="O43" s="147"/>
      <c r="P43" s="147"/>
      <c r="Q43" s="147"/>
      <c r="R43" s="516">
        <f>SUM(E43:Q43)</f>
        <v>250000</v>
      </c>
      <c r="S43" s="147">
        <f>+C43</f>
        <v>225000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1500000</v>
      </c>
      <c r="C45" s="147">
        <v>1500000</v>
      </c>
      <c r="D45" s="147"/>
      <c r="E45" s="147">
        <f t="shared" si="16"/>
        <v>0</v>
      </c>
      <c r="F45" s="147"/>
      <c r="G45" s="147"/>
      <c r="H45" s="147"/>
      <c r="I45" s="147">
        <f t="shared" si="17"/>
        <v>0</v>
      </c>
      <c r="J45" s="147"/>
      <c r="K45" s="147"/>
      <c r="L45" s="147">
        <f t="shared" ref="L45:L52" si="19">+C45</f>
        <v>1500000</v>
      </c>
      <c r="M45" s="147"/>
      <c r="N45" s="147"/>
      <c r="O45" s="147"/>
      <c r="P45" s="147"/>
      <c r="Q45" s="147"/>
      <c r="R45" s="516">
        <f t="shared" ref="R45:R53" si="20">SUM(E45:Q45)</f>
        <v>1500000</v>
      </c>
      <c r="S45" s="147">
        <v>1500000</v>
      </c>
      <c r="T45" s="147"/>
      <c r="U45" s="143"/>
    </row>
    <row r="46" spans="1:21" s="144" customFormat="1">
      <c r="A46" s="145" t="s">
        <v>151</v>
      </c>
      <c r="B46" s="146">
        <f t="shared" si="18"/>
        <v>193745</v>
      </c>
      <c r="C46" s="147">
        <v>193745</v>
      </c>
      <c r="D46" s="147"/>
      <c r="E46" s="147">
        <f t="shared" si="16"/>
        <v>0</v>
      </c>
      <c r="F46" s="147"/>
      <c r="G46" s="147"/>
      <c r="H46" s="147"/>
      <c r="I46" s="147">
        <f t="shared" si="17"/>
        <v>0</v>
      </c>
      <c r="J46" s="147"/>
      <c r="K46" s="147"/>
      <c r="L46" s="147">
        <f t="shared" si="19"/>
        <v>193745</v>
      </c>
      <c r="M46" s="147"/>
      <c r="N46" s="147"/>
      <c r="O46" s="147"/>
      <c r="P46" s="147"/>
      <c r="Q46" s="147"/>
      <c r="R46" s="516">
        <f t="shared" si="20"/>
        <v>193745</v>
      </c>
      <c r="S46" s="147">
        <f t="shared" ref="S46:S48" si="21">+C46</f>
        <v>193745</v>
      </c>
      <c r="T46" s="147"/>
      <c r="U46" s="143"/>
    </row>
    <row r="47" spans="1:21" s="144" customFormat="1">
      <c r="A47" s="186" t="s">
        <v>152</v>
      </c>
      <c r="B47" s="146">
        <f t="shared" si="18"/>
        <v>35000</v>
      </c>
      <c r="C47" s="147">
        <v>35000</v>
      </c>
      <c r="D47" s="147"/>
      <c r="E47" s="147">
        <f t="shared" si="16"/>
        <v>0</v>
      </c>
      <c r="F47" s="147"/>
      <c r="G47" s="147"/>
      <c r="H47" s="147"/>
      <c r="I47" s="147">
        <f t="shared" si="17"/>
        <v>0</v>
      </c>
      <c r="J47" s="147"/>
      <c r="K47" s="147"/>
      <c r="L47" s="147">
        <f t="shared" si="19"/>
        <v>35000</v>
      </c>
      <c r="M47" s="147"/>
      <c r="N47" s="147"/>
      <c r="O47" s="147"/>
      <c r="P47" s="147"/>
      <c r="Q47" s="147"/>
      <c r="R47" s="516">
        <f t="shared" si="20"/>
        <v>35000</v>
      </c>
      <c r="S47" s="147">
        <f t="shared" si="21"/>
        <v>35000</v>
      </c>
      <c r="T47" s="147"/>
      <c r="U47" s="143"/>
    </row>
    <row r="48" spans="1:21" s="144" customFormat="1">
      <c r="A48" s="145" t="s">
        <v>153</v>
      </c>
      <c r="B48" s="146">
        <f t="shared" si="18"/>
        <v>0</v>
      </c>
      <c r="C48" s="147"/>
      <c r="D48" s="147"/>
      <c r="E48" s="147">
        <f t="shared" si="16"/>
        <v>0</v>
      </c>
      <c r="F48" s="147"/>
      <c r="G48" s="147"/>
      <c r="H48" s="147"/>
      <c r="I48" s="147">
        <f t="shared" si="17"/>
        <v>0</v>
      </c>
      <c r="J48" s="147"/>
      <c r="K48" s="147"/>
      <c r="L48" s="147">
        <f t="shared" si="19"/>
        <v>0</v>
      </c>
      <c r="M48" s="147"/>
      <c r="N48" s="147"/>
      <c r="O48" s="147"/>
      <c r="P48" s="147"/>
      <c r="Q48" s="147"/>
      <c r="R48" s="516">
        <f t="shared" si="20"/>
        <v>0</v>
      </c>
      <c r="S48" s="147">
        <f t="shared" si="21"/>
        <v>0</v>
      </c>
      <c r="T48" s="147"/>
      <c r="U48" s="143"/>
    </row>
    <row r="49" spans="1:21" s="144" customFormat="1">
      <c r="A49" s="145" t="s">
        <v>57</v>
      </c>
      <c r="B49" s="146">
        <f t="shared" si="18"/>
        <v>178656</v>
      </c>
      <c r="C49" s="147">
        <v>178656</v>
      </c>
      <c r="D49" s="147"/>
      <c r="E49" s="147">
        <f t="shared" si="16"/>
        <v>0</v>
      </c>
      <c r="F49" s="147"/>
      <c r="G49" s="147"/>
      <c r="H49" s="147"/>
      <c r="I49" s="147">
        <f t="shared" si="17"/>
        <v>0</v>
      </c>
      <c r="J49" s="147"/>
      <c r="K49" s="147"/>
      <c r="L49" s="147">
        <f t="shared" si="19"/>
        <v>178656</v>
      </c>
      <c r="M49" s="147"/>
      <c r="N49" s="147"/>
      <c r="O49" s="147"/>
      <c r="P49" s="147"/>
      <c r="Q49" s="147"/>
      <c r="R49" s="516">
        <f t="shared" si="20"/>
        <v>178656</v>
      </c>
      <c r="S49" s="147"/>
      <c r="T49" s="147"/>
      <c r="U49" s="143"/>
    </row>
    <row r="50" spans="1:21" s="144" customFormat="1">
      <c r="A50" s="145" t="s">
        <v>156</v>
      </c>
      <c r="B50" s="146">
        <f t="shared" si="18"/>
        <v>40000</v>
      </c>
      <c r="C50" s="147">
        <v>40000</v>
      </c>
      <c r="D50" s="147"/>
      <c r="E50" s="147">
        <f t="shared" si="16"/>
        <v>0</v>
      </c>
      <c r="F50" s="147"/>
      <c r="G50" s="147"/>
      <c r="H50" s="147"/>
      <c r="I50" s="147">
        <f t="shared" si="17"/>
        <v>0</v>
      </c>
      <c r="J50" s="147"/>
      <c r="K50" s="147"/>
      <c r="L50" s="147">
        <f t="shared" si="19"/>
        <v>40000</v>
      </c>
      <c r="M50" s="147"/>
      <c r="N50" s="147"/>
      <c r="O50" s="147"/>
      <c r="P50" s="147"/>
      <c r="Q50" s="147"/>
      <c r="R50" s="516">
        <f t="shared" si="20"/>
        <v>40000</v>
      </c>
      <c r="S50" s="147">
        <f t="shared" ref="S50:S53" si="22">+C50</f>
        <v>40000</v>
      </c>
      <c r="T50" s="147"/>
      <c r="U50" s="143"/>
    </row>
    <row r="51" spans="1:21" s="144" customFormat="1">
      <c r="A51" s="283" t="s">
        <v>154</v>
      </c>
      <c r="B51" s="146">
        <f t="shared" si="18"/>
        <v>42000</v>
      </c>
      <c r="C51" s="147">
        <v>42000</v>
      </c>
      <c r="D51" s="147"/>
      <c r="E51" s="147">
        <f t="shared" si="16"/>
        <v>0</v>
      </c>
      <c r="F51" s="147"/>
      <c r="G51" s="147"/>
      <c r="H51" s="147"/>
      <c r="I51" s="147">
        <f t="shared" si="17"/>
        <v>0</v>
      </c>
      <c r="J51" s="147"/>
      <c r="K51" s="147"/>
      <c r="L51" s="147">
        <f t="shared" si="19"/>
        <v>42000</v>
      </c>
      <c r="M51" s="147"/>
      <c r="N51" s="147"/>
      <c r="O51" s="147"/>
      <c r="P51" s="147"/>
      <c r="Q51" s="147"/>
      <c r="R51" s="516">
        <f t="shared" si="20"/>
        <v>42000</v>
      </c>
      <c r="S51" s="147">
        <f t="shared" si="22"/>
        <v>42000</v>
      </c>
      <c r="T51" s="147"/>
      <c r="U51" s="143"/>
    </row>
    <row r="52" spans="1:21" s="144" customFormat="1">
      <c r="A52" s="145" t="s">
        <v>155</v>
      </c>
      <c r="B52" s="146">
        <f t="shared" si="18"/>
        <v>0</v>
      </c>
      <c r="C52" s="147"/>
      <c r="D52" s="147"/>
      <c r="E52" s="147">
        <f t="shared" si="16"/>
        <v>0</v>
      </c>
      <c r="F52" s="147"/>
      <c r="G52" s="147"/>
      <c r="H52" s="147"/>
      <c r="I52" s="147">
        <f t="shared" si="17"/>
        <v>0</v>
      </c>
      <c r="J52" s="147"/>
      <c r="K52" s="147"/>
      <c r="L52" s="147">
        <f t="shared" si="19"/>
        <v>0</v>
      </c>
      <c r="M52" s="147"/>
      <c r="N52" s="147"/>
      <c r="O52" s="147"/>
      <c r="P52" s="147"/>
      <c r="Q52" s="147"/>
      <c r="R52" s="516">
        <f t="shared" si="20"/>
        <v>0</v>
      </c>
      <c r="S52" s="147">
        <f t="shared" si="22"/>
        <v>0</v>
      </c>
      <c r="T52" s="147"/>
      <c r="U52" s="143"/>
    </row>
    <row r="53" spans="1:21" s="144" customFormat="1">
      <c r="A53" s="1149" t="s">
        <v>2741</v>
      </c>
      <c r="B53" s="146">
        <f t="shared" si="18"/>
        <v>20000</v>
      </c>
      <c r="C53" s="147">
        <v>18000</v>
      </c>
      <c r="D53" s="147">
        <v>2000</v>
      </c>
      <c r="E53" s="147">
        <f t="shared" si="16"/>
        <v>5955</v>
      </c>
      <c r="F53" s="147"/>
      <c r="G53" s="147"/>
      <c r="H53" s="147"/>
      <c r="I53" s="147">
        <f t="shared" si="17"/>
        <v>2000</v>
      </c>
      <c r="J53" s="147"/>
      <c r="K53" s="147"/>
      <c r="L53" s="147">
        <f>4000000-3987955</f>
        <v>12045</v>
      </c>
      <c r="M53" s="147"/>
      <c r="N53" s="147"/>
      <c r="O53" s="147"/>
      <c r="P53" s="147"/>
      <c r="Q53" s="147"/>
      <c r="R53" s="516">
        <f t="shared" si="20"/>
        <v>20000</v>
      </c>
      <c r="S53" s="147">
        <f t="shared" si="22"/>
        <v>18000</v>
      </c>
      <c r="T53" s="147"/>
      <c r="U53" s="143"/>
    </row>
    <row r="54" spans="1:21" s="153" customFormat="1" ht="12">
      <c r="A54" s="149" t="s">
        <v>157</v>
      </c>
      <c r="B54" s="150">
        <f>SUM(C54:D54)</f>
        <v>2009401</v>
      </c>
      <c r="C54" s="150">
        <f t="shared" ref="C54:T54" si="23">SUM(C45:C53)</f>
        <v>2007401</v>
      </c>
      <c r="D54" s="150">
        <f t="shared" si="23"/>
        <v>2000</v>
      </c>
      <c r="E54" s="150">
        <f t="shared" si="23"/>
        <v>5955</v>
      </c>
      <c r="F54" s="150">
        <f t="shared" si="23"/>
        <v>0</v>
      </c>
      <c r="G54" s="150">
        <f t="shared" si="23"/>
        <v>0</v>
      </c>
      <c r="H54" s="150">
        <f t="shared" si="23"/>
        <v>0</v>
      </c>
      <c r="I54" s="150">
        <f t="shared" si="23"/>
        <v>2000</v>
      </c>
      <c r="J54" s="150">
        <f t="shared" si="23"/>
        <v>0</v>
      </c>
      <c r="K54" s="150">
        <f t="shared" si="23"/>
        <v>0</v>
      </c>
      <c r="L54" s="150">
        <f t="shared" si="23"/>
        <v>2001446</v>
      </c>
      <c r="M54" s="150">
        <f t="shared" si="23"/>
        <v>0</v>
      </c>
      <c r="N54" s="150">
        <f t="shared" si="23"/>
        <v>0</v>
      </c>
      <c r="O54" s="150">
        <f t="shared" si="23"/>
        <v>0</v>
      </c>
      <c r="P54" s="150">
        <f t="shared" si="23"/>
        <v>0</v>
      </c>
      <c r="Q54" s="150">
        <f t="shared" si="23"/>
        <v>0</v>
      </c>
      <c r="R54" s="342">
        <f t="shared" si="23"/>
        <v>2009401</v>
      </c>
      <c r="S54" s="150">
        <f t="shared" si="23"/>
        <v>1828745</v>
      </c>
      <c r="T54" s="150">
        <f t="shared" si="2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+B56-SUM(F56:L56)</f>
        <v>0</v>
      </c>
      <c r="F56" s="147"/>
      <c r="G56" s="147"/>
      <c r="H56" s="147"/>
      <c r="I56" s="147">
        <f t="shared" ref="I56:I61" si="26">+D56</f>
        <v>0</v>
      </c>
      <c r="J56" s="147"/>
      <c r="K56" s="147"/>
      <c r="L56" s="147"/>
      <c r="M56" s="147"/>
      <c r="N56" s="147"/>
      <c r="O56" s="147"/>
      <c r="P56" s="147"/>
      <c r="Q56" s="147"/>
      <c r="R56" s="516">
        <f t="shared" ref="R56:R61" si="27">SUM(E56:Q56)</f>
        <v>0</v>
      </c>
      <c r="S56" s="148"/>
      <c r="T56" s="148"/>
      <c r="U56" s="143"/>
    </row>
    <row r="57" spans="1:21" s="192" customFormat="1">
      <c r="A57" s="186" t="s">
        <v>152</v>
      </c>
      <c r="B57" s="193">
        <f t="shared" si="24"/>
        <v>10000</v>
      </c>
      <c r="C57" s="190">
        <v>10000</v>
      </c>
      <c r="D57" s="190"/>
      <c r="E57" s="190">
        <f t="shared" si="25"/>
        <v>0</v>
      </c>
      <c r="F57" s="190"/>
      <c r="G57" s="190"/>
      <c r="H57" s="190"/>
      <c r="I57" s="190">
        <f t="shared" si="26"/>
        <v>0</v>
      </c>
      <c r="J57" s="190"/>
      <c r="K57" s="190"/>
      <c r="L57" s="190">
        <f t="shared" ref="L57:L58" si="28">+C57</f>
        <v>10000</v>
      </c>
      <c r="M57" s="190"/>
      <c r="N57" s="190"/>
      <c r="O57" s="190"/>
      <c r="P57" s="190"/>
      <c r="Q57" s="190"/>
      <c r="R57" s="516">
        <f t="shared" si="27"/>
        <v>10000</v>
      </c>
      <c r="S57" s="194"/>
      <c r="T57" s="194"/>
      <c r="U57" s="191"/>
    </row>
    <row r="58" spans="1:21" s="144" customFormat="1">
      <c r="A58" s="145" t="s">
        <v>156</v>
      </c>
      <c r="B58" s="146">
        <f t="shared" si="24"/>
        <v>5000</v>
      </c>
      <c r="C58" s="147">
        <v>5000</v>
      </c>
      <c r="D58" s="147"/>
      <c r="E58" s="147">
        <f t="shared" si="25"/>
        <v>0</v>
      </c>
      <c r="F58" s="147"/>
      <c r="G58" s="147"/>
      <c r="H58" s="147"/>
      <c r="I58" s="147">
        <f t="shared" si="26"/>
        <v>0</v>
      </c>
      <c r="J58" s="147"/>
      <c r="K58" s="147"/>
      <c r="L58" s="147">
        <f t="shared" si="28"/>
        <v>5000</v>
      </c>
      <c r="M58" s="147"/>
      <c r="N58" s="147"/>
      <c r="O58" s="147"/>
      <c r="P58" s="147"/>
      <c r="Q58" s="147"/>
      <c r="R58" s="516">
        <f t="shared" si="27"/>
        <v>5000</v>
      </c>
      <c r="S58" s="148"/>
      <c r="T58" s="148"/>
      <c r="U58" s="143"/>
    </row>
    <row r="59" spans="1:21" s="144" customFormat="1">
      <c r="A59" s="283" t="s">
        <v>154</v>
      </c>
      <c r="B59" s="146">
        <f t="shared" si="24"/>
        <v>0</v>
      </c>
      <c r="C59" s="147"/>
      <c r="D59" s="147"/>
      <c r="E59" s="147">
        <f t="shared" si="25"/>
        <v>0</v>
      </c>
      <c r="F59" s="147"/>
      <c r="G59" s="147"/>
      <c r="H59" s="147"/>
      <c r="I59" s="147">
        <f t="shared" si="26"/>
        <v>0</v>
      </c>
      <c r="J59" s="147"/>
      <c r="K59" s="147"/>
      <c r="L59" s="147"/>
      <c r="M59" s="147"/>
      <c r="N59" s="147"/>
      <c r="O59" s="147"/>
      <c r="P59" s="147"/>
      <c r="Q59" s="147"/>
      <c r="R59" s="516">
        <f t="shared" si="27"/>
        <v>0</v>
      </c>
      <c r="S59" s="148"/>
      <c r="T59" s="148"/>
      <c r="U59" s="143"/>
    </row>
    <row r="60" spans="1:21" s="144" customFormat="1">
      <c r="A60" s="145" t="s">
        <v>155</v>
      </c>
      <c r="B60" s="146">
        <f t="shared" si="24"/>
        <v>0</v>
      </c>
      <c r="C60" s="147"/>
      <c r="D60" s="147"/>
      <c r="E60" s="147">
        <f t="shared" si="25"/>
        <v>0</v>
      </c>
      <c r="F60" s="147"/>
      <c r="G60" s="147"/>
      <c r="H60" s="147"/>
      <c r="I60" s="147">
        <f t="shared" si="26"/>
        <v>0</v>
      </c>
      <c r="J60" s="147"/>
      <c r="K60" s="147"/>
      <c r="L60" s="147"/>
      <c r="M60" s="147"/>
      <c r="N60" s="147"/>
      <c r="O60" s="147"/>
      <c r="P60" s="147"/>
      <c r="Q60" s="147"/>
      <c r="R60" s="516">
        <f t="shared" si="27"/>
        <v>0</v>
      </c>
      <c r="S60" s="148"/>
      <c r="T60" s="148"/>
      <c r="U60" s="143"/>
    </row>
    <row r="61" spans="1:21" s="144" customFormat="1">
      <c r="A61" s="1149" t="s">
        <v>34</v>
      </c>
      <c r="B61" s="146">
        <f t="shared" si="24"/>
        <v>0</v>
      </c>
      <c r="C61" s="147"/>
      <c r="D61" s="147"/>
      <c r="E61" s="147">
        <f t="shared" si="25"/>
        <v>0</v>
      </c>
      <c r="F61" s="147"/>
      <c r="G61" s="147"/>
      <c r="H61" s="147"/>
      <c r="I61" s="147">
        <f t="shared" si="26"/>
        <v>0</v>
      </c>
      <c r="J61" s="147"/>
      <c r="K61" s="147"/>
      <c r="L61" s="147"/>
      <c r="M61" s="147"/>
      <c r="N61" s="147"/>
      <c r="O61" s="147"/>
      <c r="P61" s="147"/>
      <c r="Q61" s="147"/>
      <c r="R61" s="516">
        <f t="shared" si="27"/>
        <v>0</v>
      </c>
      <c r="S61" s="148"/>
      <c r="T61" s="148"/>
      <c r="U61" s="143"/>
    </row>
    <row r="62" spans="1:21" s="144" customFormat="1" ht="13.65" customHeight="1">
      <c r="A62" s="149" t="s">
        <v>301</v>
      </c>
      <c r="B62" s="146">
        <f>SUM(C62:D62)</f>
        <v>15000</v>
      </c>
      <c r="C62" s="146">
        <f t="shared" ref="C62:R62" si="29">SUM(C56:C61)</f>
        <v>15000</v>
      </c>
      <c r="D62" s="146">
        <f t="shared" si="29"/>
        <v>0</v>
      </c>
      <c r="E62" s="146">
        <f t="shared" si="29"/>
        <v>0</v>
      </c>
      <c r="F62" s="146">
        <f t="shared" si="29"/>
        <v>0</v>
      </c>
      <c r="G62" s="146">
        <f t="shared" si="29"/>
        <v>0</v>
      </c>
      <c r="H62" s="146">
        <f t="shared" si="29"/>
        <v>0</v>
      </c>
      <c r="I62" s="146">
        <f t="shared" si="29"/>
        <v>0</v>
      </c>
      <c r="J62" s="146">
        <f t="shared" si="29"/>
        <v>0</v>
      </c>
      <c r="K62" s="146">
        <f t="shared" si="29"/>
        <v>0</v>
      </c>
      <c r="L62" s="146">
        <f t="shared" si="29"/>
        <v>15000</v>
      </c>
      <c r="M62" s="146">
        <f t="shared" si="29"/>
        <v>0</v>
      </c>
      <c r="N62" s="146">
        <f t="shared" si="29"/>
        <v>0</v>
      </c>
      <c r="O62" s="146">
        <f t="shared" si="29"/>
        <v>0</v>
      </c>
      <c r="P62" s="146">
        <f t="shared" si="29"/>
        <v>0</v>
      </c>
      <c r="Q62" s="146">
        <f t="shared" si="29"/>
        <v>0</v>
      </c>
      <c r="R62" s="342">
        <f t="shared" si="29"/>
        <v>15000</v>
      </c>
      <c r="S62" s="148"/>
      <c r="T62" s="148"/>
      <c r="U62" s="143"/>
    </row>
    <row r="63" spans="1:21" s="144" customFormat="1">
      <c r="A63" s="154" t="s">
        <v>302</v>
      </c>
      <c r="B63" s="146">
        <f t="shared" ref="B63:R63" si="30">SUM(B8+B11+B13+B14+B15+B26+B27+B38+B42+B43+B54+B62)</f>
        <v>32737829</v>
      </c>
      <c r="C63" s="146">
        <f t="shared" si="30"/>
        <v>29664485</v>
      </c>
      <c r="D63" s="146">
        <f t="shared" si="30"/>
        <v>3073344</v>
      </c>
      <c r="E63" s="146">
        <f t="shared" si="30"/>
        <v>11912556</v>
      </c>
      <c r="F63" s="146">
        <f t="shared" si="30"/>
        <v>3364493</v>
      </c>
      <c r="G63" s="146">
        <f t="shared" si="30"/>
        <v>2100000</v>
      </c>
      <c r="H63" s="146">
        <f t="shared" si="30"/>
        <v>0</v>
      </c>
      <c r="I63" s="146">
        <f t="shared" si="30"/>
        <v>12041746</v>
      </c>
      <c r="J63" s="146">
        <f t="shared" si="30"/>
        <v>1000000</v>
      </c>
      <c r="K63" s="146">
        <f t="shared" si="30"/>
        <v>0</v>
      </c>
      <c r="L63" s="146">
        <f t="shared" si="30"/>
        <v>2319034</v>
      </c>
      <c r="M63" s="146">
        <f t="shared" si="30"/>
        <v>0</v>
      </c>
      <c r="N63" s="146">
        <f t="shared" si="30"/>
        <v>0</v>
      </c>
      <c r="O63" s="146">
        <f t="shared" si="30"/>
        <v>0</v>
      </c>
      <c r="P63" s="146">
        <f t="shared" si="30"/>
        <v>0</v>
      </c>
      <c r="Q63" s="146">
        <f t="shared" si="30"/>
        <v>0</v>
      </c>
      <c r="R63" s="342">
        <f t="shared" si="30"/>
        <v>32737829</v>
      </c>
      <c r="S63" s="146">
        <f>SUM(S10+S13+S14+S15+S26+S27+S38+S42+S43+S54)</f>
        <v>27580829</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58500</v>
      </c>
      <c r="D65" s="147">
        <v>6500</v>
      </c>
      <c r="E65" s="147">
        <f t="shared" ref="E65:E69" si="31">+B65-SUM(F65:L65)</f>
        <v>0</v>
      </c>
      <c r="F65" s="147"/>
      <c r="G65" s="147"/>
      <c r="H65" s="147"/>
      <c r="I65" s="147">
        <f t="shared" ref="I65:I69" si="32">+D65</f>
        <v>6500</v>
      </c>
      <c r="J65" s="147"/>
      <c r="K65" s="147"/>
      <c r="L65" s="147">
        <f t="shared" ref="L65:L69" si="33">+C65</f>
        <v>58500</v>
      </c>
      <c r="M65" s="147"/>
      <c r="N65" s="147"/>
      <c r="O65" s="147"/>
      <c r="P65" s="147"/>
      <c r="Q65" s="147"/>
      <c r="R65" s="516">
        <f>SUM(E65:Q65)</f>
        <v>65000</v>
      </c>
      <c r="S65" s="147">
        <f t="shared" ref="S65:S69" si="34">+C65</f>
        <v>58500</v>
      </c>
      <c r="T65" s="147"/>
      <c r="U65" s="143"/>
    </row>
    <row r="66" spans="1:21" s="144" customFormat="1" ht="24" customHeight="1">
      <c r="A66" s="283" t="s">
        <v>1642</v>
      </c>
      <c r="B66" s="146">
        <f>SUM(C66+D66)</f>
        <v>0</v>
      </c>
      <c r="C66" s="147"/>
      <c r="D66" s="147"/>
      <c r="E66" s="147">
        <f t="shared" si="31"/>
        <v>0</v>
      </c>
      <c r="F66" s="147"/>
      <c r="G66" s="147"/>
      <c r="H66" s="147"/>
      <c r="I66" s="147">
        <f t="shared" si="32"/>
        <v>0</v>
      </c>
      <c r="J66" s="147"/>
      <c r="K66" s="147"/>
      <c r="L66" s="147">
        <f t="shared" si="33"/>
        <v>0</v>
      </c>
      <c r="M66" s="147"/>
      <c r="N66" s="147"/>
      <c r="O66" s="147"/>
      <c r="P66" s="147"/>
      <c r="Q66" s="147"/>
      <c r="R66" s="516">
        <f>SUM(E66:Q66)</f>
        <v>0</v>
      </c>
      <c r="S66" s="147">
        <f t="shared" si="34"/>
        <v>0</v>
      </c>
      <c r="T66" s="147"/>
      <c r="U66" s="143"/>
    </row>
    <row r="67" spans="1:21" s="144" customFormat="1" ht="24" customHeight="1">
      <c r="A67" s="283" t="s">
        <v>1643</v>
      </c>
      <c r="B67" s="146">
        <f>SUM(C67+D67)</f>
        <v>0</v>
      </c>
      <c r="C67" s="147"/>
      <c r="D67" s="147"/>
      <c r="E67" s="147">
        <f t="shared" si="31"/>
        <v>0</v>
      </c>
      <c r="F67" s="147"/>
      <c r="G67" s="147"/>
      <c r="H67" s="147"/>
      <c r="I67" s="147">
        <f t="shared" si="32"/>
        <v>0</v>
      </c>
      <c r="J67" s="147"/>
      <c r="K67" s="147"/>
      <c r="L67" s="147">
        <f t="shared" si="33"/>
        <v>0</v>
      </c>
      <c r="M67" s="147"/>
      <c r="N67" s="147"/>
      <c r="O67" s="147"/>
      <c r="P67" s="147"/>
      <c r="Q67" s="147"/>
      <c r="R67" s="516">
        <f>SUM(E67:Q67)</f>
        <v>0</v>
      </c>
      <c r="S67" s="147">
        <f t="shared" si="34"/>
        <v>0</v>
      </c>
      <c r="T67" s="147"/>
      <c r="U67" s="143"/>
    </row>
    <row r="68" spans="1:21" s="144" customFormat="1" ht="12" customHeight="1">
      <c r="A68" s="283" t="s">
        <v>1649</v>
      </c>
      <c r="B68" s="146">
        <f>SUM(C68+D68)</f>
        <v>0</v>
      </c>
      <c r="C68" s="147"/>
      <c r="D68" s="147"/>
      <c r="E68" s="147">
        <f t="shared" si="31"/>
        <v>0</v>
      </c>
      <c r="F68" s="147"/>
      <c r="G68" s="147"/>
      <c r="H68" s="147"/>
      <c r="I68" s="147">
        <f t="shared" si="32"/>
        <v>0</v>
      </c>
      <c r="J68" s="147"/>
      <c r="K68" s="147"/>
      <c r="L68" s="147">
        <f t="shared" si="33"/>
        <v>0</v>
      </c>
      <c r="M68" s="147"/>
      <c r="N68" s="147"/>
      <c r="O68" s="147"/>
      <c r="P68" s="147"/>
      <c r="Q68" s="147"/>
      <c r="R68" s="516">
        <f>SUM(E68:Q68)</f>
        <v>0</v>
      </c>
      <c r="S68" s="147">
        <f t="shared" si="34"/>
        <v>0</v>
      </c>
      <c r="T68" s="147"/>
      <c r="U68" s="143"/>
    </row>
    <row r="69" spans="1:21" s="144" customFormat="1">
      <c r="A69" s="1149" t="s">
        <v>2742</v>
      </c>
      <c r="B69" s="146">
        <f>SUM(C69+D69)</f>
        <v>50000</v>
      </c>
      <c r="C69" s="147">
        <v>45000</v>
      </c>
      <c r="D69" s="147">
        <v>5000</v>
      </c>
      <c r="E69" s="147">
        <f t="shared" si="31"/>
        <v>0</v>
      </c>
      <c r="F69" s="147"/>
      <c r="G69" s="147"/>
      <c r="H69" s="147"/>
      <c r="I69" s="147">
        <f t="shared" si="32"/>
        <v>5000</v>
      </c>
      <c r="J69" s="147"/>
      <c r="K69" s="147"/>
      <c r="L69" s="147">
        <f t="shared" si="33"/>
        <v>45000</v>
      </c>
      <c r="M69" s="147"/>
      <c r="N69" s="147"/>
      <c r="O69" s="147"/>
      <c r="P69" s="147"/>
      <c r="Q69" s="147"/>
      <c r="R69" s="516">
        <f>SUM(E69:Q69)</f>
        <v>50000</v>
      </c>
      <c r="S69" s="147">
        <f t="shared" si="34"/>
        <v>45000</v>
      </c>
      <c r="T69" s="147"/>
      <c r="U69" s="143"/>
    </row>
    <row r="70" spans="1:21" s="144" customFormat="1" ht="12">
      <c r="A70" s="149" t="s">
        <v>1646</v>
      </c>
      <c r="B70" s="146">
        <f>SUM(C70:D70)</f>
        <v>115000</v>
      </c>
      <c r="C70" s="146">
        <f>SUM(C65:C69)</f>
        <v>103500</v>
      </c>
      <c r="D70" s="146">
        <f>SUM(D65:D69)</f>
        <v>11500</v>
      </c>
      <c r="E70" s="146">
        <f t="shared" ref="E70:T70" si="35">SUM(E65:E69)</f>
        <v>0</v>
      </c>
      <c r="F70" s="146">
        <f t="shared" si="35"/>
        <v>0</v>
      </c>
      <c r="G70" s="146">
        <f t="shared" si="35"/>
        <v>0</v>
      </c>
      <c r="H70" s="146">
        <f t="shared" si="35"/>
        <v>0</v>
      </c>
      <c r="I70" s="146">
        <f t="shared" si="35"/>
        <v>11500</v>
      </c>
      <c r="J70" s="146">
        <f t="shared" si="35"/>
        <v>0</v>
      </c>
      <c r="K70" s="146">
        <f t="shared" si="35"/>
        <v>0</v>
      </c>
      <c r="L70" s="146">
        <f t="shared" si="35"/>
        <v>103500</v>
      </c>
      <c r="M70" s="146">
        <f t="shared" si="35"/>
        <v>0</v>
      </c>
      <c r="N70" s="146">
        <f t="shared" si="35"/>
        <v>0</v>
      </c>
      <c r="O70" s="146">
        <f t="shared" si="35"/>
        <v>0</v>
      </c>
      <c r="P70" s="146">
        <f t="shared" si="35"/>
        <v>0</v>
      </c>
      <c r="Q70" s="146">
        <f t="shared" si="35"/>
        <v>0</v>
      </c>
      <c r="R70" s="342">
        <f t="shared" si="35"/>
        <v>115000</v>
      </c>
      <c r="S70" s="150">
        <f t="shared" si="35"/>
        <v>103500</v>
      </c>
      <c r="T70" s="150">
        <f t="shared" si="35"/>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36">+B72-SUM(F72:L72)</f>
        <v>0</v>
      </c>
      <c r="F72" s="147"/>
      <c r="G72" s="147"/>
      <c r="H72" s="147"/>
      <c r="I72" s="147">
        <f t="shared" ref="I72:I76" si="37">+D72</f>
        <v>0</v>
      </c>
      <c r="J72" s="147"/>
      <c r="K72" s="147"/>
      <c r="L72" s="147">
        <f>+C72</f>
        <v>30000</v>
      </c>
      <c r="M72" s="147"/>
      <c r="N72" s="147"/>
      <c r="O72" s="147"/>
      <c r="P72" s="147"/>
      <c r="Q72" s="147"/>
      <c r="R72" s="516">
        <f>SUM(E72:Q72)</f>
        <v>30000</v>
      </c>
      <c r="S72" s="148"/>
      <c r="T72" s="148"/>
      <c r="U72" s="143"/>
    </row>
    <row r="73" spans="1:21" s="144" customFormat="1">
      <c r="A73" s="145" t="s">
        <v>605</v>
      </c>
      <c r="B73" s="146">
        <f>SUM(C73+D73)</f>
        <v>0</v>
      </c>
      <c r="C73" s="147"/>
      <c r="D73" s="147"/>
      <c r="E73" s="147">
        <f t="shared" si="36"/>
        <v>0</v>
      </c>
      <c r="F73" s="147"/>
      <c r="G73" s="147"/>
      <c r="H73" s="147"/>
      <c r="I73" s="147">
        <f t="shared" si="37"/>
        <v>0</v>
      </c>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36"/>
        <v>0</v>
      </c>
      <c r="F74" s="147"/>
      <c r="G74" s="147"/>
      <c r="H74" s="147"/>
      <c r="I74" s="147">
        <f t="shared" si="37"/>
        <v>0</v>
      </c>
      <c r="J74" s="147"/>
      <c r="K74" s="147"/>
      <c r="L74" s="147"/>
      <c r="M74" s="147"/>
      <c r="N74" s="147"/>
      <c r="O74" s="147"/>
      <c r="P74" s="147"/>
      <c r="Q74" s="147"/>
      <c r="R74" s="516">
        <f>SUM(E74:Q74)</f>
        <v>0</v>
      </c>
      <c r="S74" s="148"/>
      <c r="T74" s="148"/>
      <c r="U74" s="143"/>
    </row>
    <row r="75" spans="1:21" s="144" customFormat="1">
      <c r="A75" s="145" t="s">
        <v>606</v>
      </c>
      <c r="B75" s="146">
        <f>SUM(C75+D75)</f>
        <v>126064</v>
      </c>
      <c r="C75" s="147">
        <v>126064</v>
      </c>
      <c r="D75" s="147"/>
      <c r="E75" s="147">
        <f t="shared" si="36"/>
        <v>0</v>
      </c>
      <c r="F75" s="147"/>
      <c r="G75" s="147"/>
      <c r="H75" s="147"/>
      <c r="I75" s="147">
        <f t="shared" si="37"/>
        <v>0</v>
      </c>
      <c r="J75" s="147"/>
      <c r="K75" s="147"/>
      <c r="L75" s="147">
        <f>+C75</f>
        <v>126064</v>
      </c>
      <c r="M75" s="147"/>
      <c r="N75" s="147"/>
      <c r="O75" s="147"/>
      <c r="P75" s="147"/>
      <c r="Q75" s="147"/>
      <c r="R75" s="516">
        <f>SUM(E75:Q75)</f>
        <v>126064</v>
      </c>
      <c r="S75" s="148"/>
      <c r="T75" s="148"/>
      <c r="U75" s="143"/>
    </row>
    <row r="76" spans="1:21" s="144" customFormat="1">
      <c r="A76" s="1149" t="s">
        <v>34</v>
      </c>
      <c r="B76" s="146">
        <f>SUM(C76+D76)</f>
        <v>0</v>
      </c>
      <c r="C76" s="147"/>
      <c r="D76" s="147"/>
      <c r="E76" s="147">
        <f t="shared" si="36"/>
        <v>0</v>
      </c>
      <c r="F76" s="147"/>
      <c r="G76" s="147"/>
      <c r="H76" s="147"/>
      <c r="I76" s="147">
        <f t="shared" si="37"/>
        <v>0</v>
      </c>
      <c r="J76" s="147"/>
      <c r="K76" s="147"/>
      <c r="L76" s="147"/>
      <c r="M76" s="147"/>
      <c r="N76" s="147"/>
      <c r="O76" s="147"/>
      <c r="P76" s="147"/>
      <c r="Q76" s="147"/>
      <c r="R76" s="516">
        <f>SUM(E76:Q76)</f>
        <v>0</v>
      </c>
      <c r="S76" s="148"/>
      <c r="T76" s="148"/>
      <c r="U76" s="143"/>
    </row>
    <row r="77" spans="1:21" s="144" customFormat="1" ht="12">
      <c r="A77" s="149" t="s">
        <v>607</v>
      </c>
      <c r="B77" s="146">
        <f>SUM(C77:D77)</f>
        <v>156064</v>
      </c>
      <c r="C77" s="146">
        <f>SUM(C72:C76)</f>
        <v>156064</v>
      </c>
      <c r="D77" s="146">
        <f>SUM(D72:D76)</f>
        <v>0</v>
      </c>
      <c r="E77" s="146">
        <f t="shared" ref="E77:Q77" si="38">SUM(E72:E76)</f>
        <v>0</v>
      </c>
      <c r="F77" s="146">
        <f t="shared" si="38"/>
        <v>0</v>
      </c>
      <c r="G77" s="146">
        <f t="shared" si="38"/>
        <v>0</v>
      </c>
      <c r="H77" s="146">
        <f t="shared" si="38"/>
        <v>0</v>
      </c>
      <c r="I77" s="146">
        <f t="shared" si="38"/>
        <v>0</v>
      </c>
      <c r="J77" s="146">
        <f t="shared" si="38"/>
        <v>0</v>
      </c>
      <c r="K77" s="146">
        <f t="shared" si="38"/>
        <v>0</v>
      </c>
      <c r="L77" s="146">
        <f t="shared" si="38"/>
        <v>156064</v>
      </c>
      <c r="M77" s="146">
        <f t="shared" si="38"/>
        <v>0</v>
      </c>
      <c r="N77" s="146">
        <f t="shared" si="38"/>
        <v>0</v>
      </c>
      <c r="O77" s="146">
        <f t="shared" si="38"/>
        <v>0</v>
      </c>
      <c r="P77" s="146">
        <f t="shared" si="38"/>
        <v>0</v>
      </c>
      <c r="Q77" s="146">
        <f t="shared" si="38"/>
        <v>0</v>
      </c>
      <c r="R77" s="342">
        <f>SUM(R72:R76)</f>
        <v>156064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1365156</v>
      </c>
      <c r="C79" s="147">
        <v>1228640</v>
      </c>
      <c r="D79" s="147">
        <v>136516</v>
      </c>
      <c r="E79" s="147">
        <f t="shared" ref="E79:E80" si="39">+B79-SUM(F79:L79)</f>
        <v>1228640</v>
      </c>
      <c r="F79" s="147"/>
      <c r="G79" s="147"/>
      <c r="H79" s="147"/>
      <c r="I79" s="147">
        <f t="shared" ref="I79:I80" si="40">+D79</f>
        <v>136516</v>
      </c>
      <c r="J79" s="147"/>
      <c r="K79" s="147"/>
      <c r="L79" s="147"/>
      <c r="M79" s="147"/>
      <c r="N79" s="147"/>
      <c r="O79" s="147"/>
      <c r="P79" s="147"/>
      <c r="Q79" s="147"/>
      <c r="R79" s="516">
        <f>SUM(E79:Q79)</f>
        <v>1365156</v>
      </c>
      <c r="S79" s="147">
        <f t="shared" ref="S79:S80" si="41">+C79</f>
        <v>1228640</v>
      </c>
      <c r="T79" s="147"/>
      <c r="U79" s="143"/>
    </row>
    <row r="80" spans="1:21" s="144" customFormat="1">
      <c r="A80" s="283" t="s">
        <v>58</v>
      </c>
      <c r="B80" s="146">
        <f>SUM(C80:D80)</f>
        <v>180329</v>
      </c>
      <c r="C80" s="147">
        <v>162296</v>
      </c>
      <c r="D80" s="147">
        <v>18033</v>
      </c>
      <c r="E80" s="147">
        <f t="shared" si="39"/>
        <v>143662</v>
      </c>
      <c r="F80" s="147"/>
      <c r="G80" s="147"/>
      <c r="H80" s="147"/>
      <c r="I80" s="147">
        <f t="shared" si="40"/>
        <v>18033</v>
      </c>
      <c r="J80" s="147"/>
      <c r="K80" s="147"/>
      <c r="L80" s="147">
        <v>18634</v>
      </c>
      <c r="M80" s="147"/>
      <c r="N80" s="147"/>
      <c r="O80" s="147"/>
      <c r="P80" s="147"/>
      <c r="Q80" s="147"/>
      <c r="R80" s="516">
        <f>SUM(E80:Q80)</f>
        <v>180329</v>
      </c>
      <c r="S80" s="147">
        <f t="shared" si="41"/>
        <v>162296</v>
      </c>
      <c r="T80" s="147"/>
      <c r="U80" s="143"/>
    </row>
    <row r="81" spans="1:21" s="144" customFormat="1" ht="12">
      <c r="A81" s="149" t="s">
        <v>1210</v>
      </c>
      <c r="B81" s="146">
        <f>SUM(C81:D81)</f>
        <v>1545485</v>
      </c>
      <c r="C81" s="509">
        <f>SUM(C79:C80)</f>
        <v>1390936</v>
      </c>
      <c r="D81" s="509">
        <f t="shared" ref="D81:T81" si="42">SUM(D79:D80)</f>
        <v>154549</v>
      </c>
      <c r="E81" s="509">
        <f t="shared" si="42"/>
        <v>1372302</v>
      </c>
      <c r="F81" s="509">
        <f t="shared" si="42"/>
        <v>0</v>
      </c>
      <c r="G81" s="509">
        <f t="shared" si="42"/>
        <v>0</v>
      </c>
      <c r="H81" s="509">
        <f t="shared" si="42"/>
        <v>0</v>
      </c>
      <c r="I81" s="509">
        <f t="shared" si="42"/>
        <v>154549</v>
      </c>
      <c r="J81" s="509">
        <f t="shared" si="42"/>
        <v>0</v>
      </c>
      <c r="K81" s="509">
        <f t="shared" si="42"/>
        <v>0</v>
      </c>
      <c r="L81" s="509">
        <f t="shared" si="42"/>
        <v>18634</v>
      </c>
      <c r="M81" s="509">
        <f t="shared" si="42"/>
        <v>0</v>
      </c>
      <c r="N81" s="509">
        <f t="shared" si="42"/>
        <v>0</v>
      </c>
      <c r="O81" s="509">
        <f t="shared" si="42"/>
        <v>0</v>
      </c>
      <c r="P81" s="509">
        <f t="shared" si="42"/>
        <v>0</v>
      </c>
      <c r="Q81" s="509">
        <f t="shared" si="42"/>
        <v>0</v>
      </c>
      <c r="R81" s="509">
        <f t="shared" si="42"/>
        <v>1545485</v>
      </c>
      <c r="S81" s="509">
        <f t="shared" si="42"/>
        <v>1390936</v>
      </c>
      <c r="T81" s="509">
        <f t="shared" si="4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43">SUM(C83+D83)</f>
        <v>121934</v>
      </c>
      <c r="C83" s="147">
        <v>121934</v>
      </c>
      <c r="D83" s="147"/>
      <c r="E83" s="147"/>
      <c r="F83" s="147"/>
      <c r="G83" s="147"/>
      <c r="H83" s="147"/>
      <c r="I83" s="147">
        <f t="shared" ref="I83:I95" si="44">+D83</f>
        <v>0</v>
      </c>
      <c r="J83" s="147"/>
      <c r="K83" s="147"/>
      <c r="L83" s="147">
        <f>+C83</f>
        <v>121934</v>
      </c>
      <c r="M83" s="147"/>
      <c r="N83" s="147"/>
      <c r="O83" s="147"/>
      <c r="P83" s="147"/>
      <c r="Q83" s="147"/>
      <c r="R83" s="516">
        <f t="shared" ref="R83:R95" si="45">SUM(E83:Q83)</f>
        <v>121934</v>
      </c>
      <c r="S83" s="148"/>
      <c r="T83" s="148"/>
      <c r="U83" s="143"/>
    </row>
    <row r="84" spans="1:21" s="144" customFormat="1">
      <c r="A84" s="145" t="s">
        <v>768</v>
      </c>
      <c r="B84" s="146">
        <f t="shared" si="43"/>
        <v>7000</v>
      </c>
      <c r="C84" s="147">
        <v>6300</v>
      </c>
      <c r="D84" s="147">
        <v>700</v>
      </c>
      <c r="E84" s="147">
        <f t="shared" ref="E84:E95" si="46">+B84-SUM(F84:L84)</f>
        <v>0</v>
      </c>
      <c r="F84" s="147"/>
      <c r="G84" s="147"/>
      <c r="H84" s="147"/>
      <c r="I84" s="147">
        <f t="shared" si="44"/>
        <v>700</v>
      </c>
      <c r="J84" s="147"/>
      <c r="K84" s="147"/>
      <c r="L84" s="147">
        <f>+C84</f>
        <v>6300</v>
      </c>
      <c r="M84" s="147"/>
      <c r="N84" s="147"/>
      <c r="O84" s="147"/>
      <c r="P84" s="147"/>
      <c r="Q84" s="147"/>
      <c r="R84" s="516">
        <f t="shared" si="45"/>
        <v>7000</v>
      </c>
      <c r="S84" s="147">
        <f t="shared" ref="S84:S87" si="47">+C84</f>
        <v>6300</v>
      </c>
      <c r="T84" s="147"/>
      <c r="U84" s="143"/>
    </row>
    <row r="85" spans="1:21" s="144" customFormat="1">
      <c r="A85" s="145" t="s">
        <v>769</v>
      </c>
      <c r="B85" s="146">
        <f t="shared" si="43"/>
        <v>725049</v>
      </c>
      <c r="C85" s="147">
        <v>652544</v>
      </c>
      <c r="D85" s="147">
        <v>72505</v>
      </c>
      <c r="E85" s="147">
        <f t="shared" si="46"/>
        <v>0</v>
      </c>
      <c r="F85" s="147"/>
      <c r="G85" s="147"/>
      <c r="H85" s="147"/>
      <c r="I85" s="147">
        <f t="shared" si="44"/>
        <v>72505</v>
      </c>
      <c r="J85" s="147"/>
      <c r="K85" s="147"/>
      <c r="L85" s="147">
        <f t="shared" ref="L85:L92" si="48">+C85</f>
        <v>652544</v>
      </c>
      <c r="M85" s="147"/>
      <c r="N85" s="147"/>
      <c r="O85" s="147"/>
      <c r="P85" s="147"/>
      <c r="Q85" s="147"/>
      <c r="R85" s="516">
        <f t="shared" si="45"/>
        <v>725049</v>
      </c>
      <c r="S85" s="147">
        <f t="shared" si="47"/>
        <v>652544</v>
      </c>
      <c r="T85" s="147"/>
      <c r="U85" s="143"/>
    </row>
    <row r="86" spans="1:21" s="144" customFormat="1">
      <c r="A86" s="145" t="s">
        <v>770</v>
      </c>
      <c r="B86" s="146">
        <f t="shared" si="43"/>
        <v>500000</v>
      </c>
      <c r="C86" s="147">
        <v>450000</v>
      </c>
      <c r="D86" s="147">
        <v>50000</v>
      </c>
      <c r="E86" s="147">
        <f t="shared" si="46"/>
        <v>0</v>
      </c>
      <c r="F86" s="147"/>
      <c r="G86" s="147"/>
      <c r="H86" s="147"/>
      <c r="I86" s="147">
        <f t="shared" si="44"/>
        <v>50000</v>
      </c>
      <c r="J86" s="147"/>
      <c r="K86" s="147"/>
      <c r="L86" s="147">
        <v>450000</v>
      </c>
      <c r="M86" s="147"/>
      <c r="N86" s="147"/>
      <c r="O86" s="147"/>
      <c r="P86" s="147"/>
      <c r="Q86" s="147"/>
      <c r="R86" s="516">
        <f t="shared" si="45"/>
        <v>500000</v>
      </c>
      <c r="S86" s="147">
        <f t="shared" si="47"/>
        <v>450000</v>
      </c>
      <c r="T86" s="147"/>
      <c r="U86" s="143"/>
    </row>
    <row r="87" spans="1:21" s="144" customFormat="1">
      <c r="A87" s="145" t="s">
        <v>771</v>
      </c>
      <c r="B87" s="146">
        <f t="shared" si="43"/>
        <v>0</v>
      </c>
      <c r="C87" s="147"/>
      <c r="D87" s="147"/>
      <c r="E87" s="147">
        <f t="shared" si="46"/>
        <v>0</v>
      </c>
      <c r="F87" s="147"/>
      <c r="G87" s="147"/>
      <c r="H87" s="147"/>
      <c r="I87" s="147">
        <f t="shared" si="44"/>
        <v>0</v>
      </c>
      <c r="J87" s="147"/>
      <c r="K87" s="147"/>
      <c r="L87" s="147">
        <f t="shared" si="48"/>
        <v>0</v>
      </c>
      <c r="M87" s="147"/>
      <c r="N87" s="147"/>
      <c r="O87" s="147"/>
      <c r="P87" s="147"/>
      <c r="Q87" s="147"/>
      <c r="R87" s="516">
        <f t="shared" si="45"/>
        <v>0</v>
      </c>
      <c r="S87" s="147">
        <f t="shared" si="47"/>
        <v>0</v>
      </c>
      <c r="T87" s="147"/>
      <c r="U87" s="143"/>
    </row>
    <row r="88" spans="1:21" s="144" customFormat="1">
      <c r="A88" s="145" t="s">
        <v>772</v>
      </c>
      <c r="B88" s="146">
        <f t="shared" si="43"/>
        <v>69490</v>
      </c>
      <c r="C88" s="147">
        <v>69490</v>
      </c>
      <c r="D88" s="147"/>
      <c r="E88" s="147">
        <f t="shared" si="46"/>
        <v>0</v>
      </c>
      <c r="F88" s="147"/>
      <c r="G88" s="147"/>
      <c r="H88" s="147"/>
      <c r="I88" s="147">
        <f t="shared" si="44"/>
        <v>0</v>
      </c>
      <c r="J88" s="147"/>
      <c r="K88" s="147"/>
      <c r="L88" s="147">
        <f t="shared" si="48"/>
        <v>69490</v>
      </c>
      <c r="M88" s="147"/>
      <c r="N88" s="147"/>
      <c r="O88" s="147"/>
      <c r="P88" s="147"/>
      <c r="Q88" s="147"/>
      <c r="R88" s="516">
        <f t="shared" si="45"/>
        <v>69490</v>
      </c>
      <c r="S88" s="148"/>
      <c r="T88" s="148"/>
      <c r="U88" s="143"/>
    </row>
    <row r="89" spans="1:21" s="144" customFormat="1">
      <c r="A89" s="145" t="s">
        <v>773</v>
      </c>
      <c r="B89" s="146">
        <f t="shared" si="43"/>
        <v>40002</v>
      </c>
      <c r="C89" s="147">
        <v>40002</v>
      </c>
      <c r="D89" s="147"/>
      <c r="E89" s="147">
        <f t="shared" si="46"/>
        <v>2</v>
      </c>
      <c r="F89" s="147"/>
      <c r="G89" s="147"/>
      <c r="H89" s="147"/>
      <c r="I89" s="147">
        <f t="shared" si="44"/>
        <v>0</v>
      </c>
      <c r="J89" s="147"/>
      <c r="K89" s="147"/>
      <c r="L89" s="147">
        <v>40000</v>
      </c>
      <c r="M89" s="147"/>
      <c r="N89" s="147"/>
      <c r="O89" s="147"/>
      <c r="P89" s="147"/>
      <c r="Q89" s="147"/>
      <c r="R89" s="516">
        <f t="shared" si="45"/>
        <v>40002</v>
      </c>
      <c r="S89" s="147">
        <f t="shared" ref="S89:S93" si="49">+C89</f>
        <v>40002</v>
      </c>
      <c r="T89" s="147"/>
      <c r="U89" s="143"/>
    </row>
    <row r="90" spans="1:21" s="144" customFormat="1">
      <c r="A90" s="145" t="s">
        <v>774</v>
      </c>
      <c r="B90" s="146">
        <f t="shared" si="43"/>
        <v>10000</v>
      </c>
      <c r="C90" s="147">
        <v>10000</v>
      </c>
      <c r="D90" s="147"/>
      <c r="E90" s="147">
        <f t="shared" si="46"/>
        <v>0</v>
      </c>
      <c r="F90" s="147"/>
      <c r="G90" s="147"/>
      <c r="H90" s="147"/>
      <c r="I90" s="147">
        <f t="shared" si="44"/>
        <v>0</v>
      </c>
      <c r="J90" s="147"/>
      <c r="K90" s="147"/>
      <c r="L90" s="147">
        <f t="shared" si="48"/>
        <v>10000</v>
      </c>
      <c r="M90" s="147"/>
      <c r="N90" s="147"/>
      <c r="O90" s="147"/>
      <c r="P90" s="147"/>
      <c r="Q90" s="147"/>
      <c r="R90" s="516">
        <f t="shared" si="45"/>
        <v>10000</v>
      </c>
      <c r="S90" s="147">
        <f t="shared" si="49"/>
        <v>10000</v>
      </c>
      <c r="T90" s="147"/>
      <c r="U90" s="143"/>
    </row>
    <row r="91" spans="1:21" s="144" customFormat="1">
      <c r="A91" s="145" t="s">
        <v>372</v>
      </c>
      <c r="B91" s="146">
        <f t="shared" si="43"/>
        <v>45000</v>
      </c>
      <c r="C91" s="147">
        <v>45000</v>
      </c>
      <c r="D91" s="147"/>
      <c r="E91" s="147">
        <f t="shared" si="46"/>
        <v>0</v>
      </c>
      <c r="F91" s="147"/>
      <c r="G91" s="147"/>
      <c r="H91" s="147"/>
      <c r="I91" s="147">
        <f t="shared" si="44"/>
        <v>0</v>
      </c>
      <c r="J91" s="147"/>
      <c r="K91" s="147"/>
      <c r="L91" s="147">
        <f t="shared" si="48"/>
        <v>45000</v>
      </c>
      <c r="M91" s="147"/>
      <c r="N91" s="147"/>
      <c r="O91" s="147"/>
      <c r="P91" s="147"/>
      <c r="Q91" s="147"/>
      <c r="R91" s="516">
        <f t="shared" si="45"/>
        <v>45000</v>
      </c>
      <c r="S91" s="147">
        <f t="shared" si="49"/>
        <v>45000</v>
      </c>
      <c r="T91" s="147"/>
      <c r="U91" s="143"/>
    </row>
    <row r="92" spans="1:21" s="144" customFormat="1">
      <c r="A92" s="283" t="s">
        <v>1212</v>
      </c>
      <c r="B92" s="146">
        <f t="shared" si="43"/>
        <v>7500</v>
      </c>
      <c r="C92" s="147">
        <v>7500</v>
      </c>
      <c r="D92" s="147"/>
      <c r="E92" s="147">
        <f t="shared" si="46"/>
        <v>0</v>
      </c>
      <c r="F92" s="147"/>
      <c r="G92" s="147"/>
      <c r="H92" s="147"/>
      <c r="I92" s="147">
        <f t="shared" si="44"/>
        <v>0</v>
      </c>
      <c r="J92" s="147"/>
      <c r="K92" s="147"/>
      <c r="L92" s="147">
        <f t="shared" si="48"/>
        <v>7500</v>
      </c>
      <c r="M92" s="147"/>
      <c r="N92" s="147"/>
      <c r="O92" s="147"/>
      <c r="P92" s="147"/>
      <c r="Q92" s="147"/>
      <c r="R92" s="516">
        <f t="shared" si="45"/>
        <v>7500</v>
      </c>
      <c r="S92" s="147">
        <f t="shared" si="49"/>
        <v>7500</v>
      </c>
      <c r="T92" s="147"/>
      <c r="U92" s="143"/>
    </row>
    <row r="93" spans="1:21" s="144" customFormat="1">
      <c r="A93" s="1149" t="s">
        <v>2743</v>
      </c>
      <c r="B93" s="146">
        <f t="shared" si="43"/>
        <v>2000000</v>
      </c>
      <c r="C93" s="147">
        <v>2000000</v>
      </c>
      <c r="D93" s="147"/>
      <c r="E93" s="147">
        <f t="shared" si="46"/>
        <v>0</v>
      </c>
      <c r="F93" s="147"/>
      <c r="G93" s="147"/>
      <c r="H93" s="147"/>
      <c r="I93" s="147">
        <f t="shared" si="44"/>
        <v>0</v>
      </c>
      <c r="J93" s="147"/>
      <c r="K93" s="147">
        <v>2000000</v>
      </c>
      <c r="L93" s="147"/>
      <c r="M93" s="147"/>
      <c r="N93" s="147"/>
      <c r="O93" s="147"/>
      <c r="P93" s="147"/>
      <c r="Q93" s="147"/>
      <c r="R93" s="516">
        <f t="shared" si="45"/>
        <v>2000000</v>
      </c>
      <c r="S93" s="147">
        <f t="shared" si="49"/>
        <v>2000000</v>
      </c>
      <c r="T93" s="147"/>
      <c r="U93" s="143"/>
    </row>
    <row r="94" spans="1:21" s="144" customFormat="1">
      <c r="A94" s="1149" t="s">
        <v>34</v>
      </c>
      <c r="B94" s="146">
        <f t="shared" si="43"/>
        <v>0</v>
      </c>
      <c r="C94" s="147"/>
      <c r="D94" s="147"/>
      <c r="E94" s="147">
        <f t="shared" si="46"/>
        <v>0</v>
      </c>
      <c r="F94" s="147"/>
      <c r="G94" s="147"/>
      <c r="H94" s="147"/>
      <c r="I94" s="147">
        <f t="shared" si="44"/>
        <v>0</v>
      </c>
      <c r="J94" s="147"/>
      <c r="K94" s="147"/>
      <c r="L94" s="147"/>
      <c r="M94" s="147"/>
      <c r="N94" s="147"/>
      <c r="O94" s="147"/>
      <c r="P94" s="147"/>
      <c r="Q94" s="147"/>
      <c r="R94" s="516">
        <f t="shared" si="45"/>
        <v>0</v>
      </c>
      <c r="S94" s="147"/>
      <c r="T94" s="147"/>
      <c r="U94" s="143"/>
    </row>
    <row r="95" spans="1:21" s="144" customFormat="1">
      <c r="A95" s="1149" t="s">
        <v>34</v>
      </c>
      <c r="B95" s="146">
        <f t="shared" si="43"/>
        <v>0</v>
      </c>
      <c r="C95" s="147"/>
      <c r="D95" s="147"/>
      <c r="E95" s="147">
        <f t="shared" si="46"/>
        <v>0</v>
      </c>
      <c r="F95" s="147"/>
      <c r="G95" s="147"/>
      <c r="H95" s="147"/>
      <c r="I95" s="147">
        <f t="shared" si="44"/>
        <v>0</v>
      </c>
      <c r="J95" s="147"/>
      <c r="K95" s="147"/>
      <c r="L95" s="147"/>
      <c r="M95" s="147"/>
      <c r="N95" s="147"/>
      <c r="O95" s="147"/>
      <c r="P95" s="147"/>
      <c r="Q95" s="147"/>
      <c r="R95" s="516">
        <f t="shared" si="45"/>
        <v>0</v>
      </c>
      <c r="S95" s="147"/>
      <c r="T95" s="147"/>
      <c r="U95" s="143"/>
    </row>
    <row r="96" spans="1:21" s="144" customFormat="1" ht="12">
      <c r="A96" s="149" t="s">
        <v>775</v>
      </c>
      <c r="B96" s="146">
        <f>SUM(C96:D96)</f>
        <v>3525975</v>
      </c>
      <c r="C96" s="146">
        <f t="shared" ref="C96:R96" si="50">SUM(C83:C95)</f>
        <v>3402770</v>
      </c>
      <c r="D96" s="146">
        <f t="shared" si="50"/>
        <v>123205</v>
      </c>
      <c r="E96" s="146">
        <f t="shared" si="50"/>
        <v>2</v>
      </c>
      <c r="F96" s="146">
        <f t="shared" si="50"/>
        <v>0</v>
      </c>
      <c r="G96" s="146">
        <f t="shared" si="50"/>
        <v>0</v>
      </c>
      <c r="H96" s="146">
        <f t="shared" si="50"/>
        <v>0</v>
      </c>
      <c r="I96" s="146">
        <f t="shared" si="50"/>
        <v>123205</v>
      </c>
      <c r="J96" s="146">
        <f t="shared" si="50"/>
        <v>0</v>
      </c>
      <c r="K96" s="146">
        <f t="shared" si="50"/>
        <v>2000000</v>
      </c>
      <c r="L96" s="146">
        <f t="shared" si="50"/>
        <v>1402768</v>
      </c>
      <c r="M96" s="146">
        <f t="shared" si="50"/>
        <v>0</v>
      </c>
      <c r="N96" s="146">
        <f t="shared" si="50"/>
        <v>0</v>
      </c>
      <c r="O96" s="146">
        <f t="shared" si="50"/>
        <v>0</v>
      </c>
      <c r="P96" s="146">
        <f t="shared" si="50"/>
        <v>0</v>
      </c>
      <c r="Q96" s="146">
        <f t="shared" si="50"/>
        <v>0</v>
      </c>
      <c r="R96" s="342">
        <f t="shared" si="50"/>
        <v>3525975</v>
      </c>
      <c r="S96" s="150">
        <f>SUM(S84:S87,S89:S95)</f>
        <v>3211346</v>
      </c>
      <c r="T96" s="146">
        <f>SUM(T84:T87,T89:T95)</f>
        <v>0</v>
      </c>
      <c r="U96" s="143"/>
    </row>
    <row r="97" spans="1:21" s="144" customFormat="1" ht="12">
      <c r="A97" s="149" t="s">
        <v>776</v>
      </c>
      <c r="B97" s="146">
        <f>SUM(C97:D97)</f>
        <v>38080353</v>
      </c>
      <c r="C97" s="146">
        <f t="shared" ref="C97:R97" si="51">SUM(C63+C70+C77+C81+C96)</f>
        <v>34717755</v>
      </c>
      <c r="D97" s="146">
        <f t="shared" si="51"/>
        <v>3362598</v>
      </c>
      <c r="E97" s="146">
        <f t="shared" si="51"/>
        <v>13284860</v>
      </c>
      <c r="F97" s="146">
        <f t="shared" si="51"/>
        <v>3364493</v>
      </c>
      <c r="G97" s="146">
        <f t="shared" si="51"/>
        <v>2100000</v>
      </c>
      <c r="H97" s="146">
        <f t="shared" si="51"/>
        <v>0</v>
      </c>
      <c r="I97" s="146">
        <f t="shared" si="51"/>
        <v>12331000</v>
      </c>
      <c r="J97" s="146">
        <f t="shared" si="51"/>
        <v>1000000</v>
      </c>
      <c r="K97" s="146">
        <f t="shared" si="51"/>
        <v>2000000</v>
      </c>
      <c r="L97" s="146">
        <f t="shared" si="51"/>
        <v>4000000</v>
      </c>
      <c r="M97" s="146">
        <f t="shared" si="51"/>
        <v>0</v>
      </c>
      <c r="N97" s="146">
        <f t="shared" si="51"/>
        <v>0</v>
      </c>
      <c r="O97" s="146">
        <f t="shared" si="51"/>
        <v>0</v>
      </c>
      <c r="P97" s="146">
        <f t="shared" si="51"/>
        <v>0</v>
      </c>
      <c r="Q97" s="146">
        <f t="shared" si="51"/>
        <v>0</v>
      </c>
      <c r="R97" s="146">
        <f t="shared" si="51"/>
        <v>38080353</v>
      </c>
      <c r="S97" s="146">
        <f>SUM(S63+S70+S81+S96)</f>
        <v>32286611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3670441</v>
      </c>
      <c r="C99" s="979">
        <v>3670441</v>
      </c>
      <c r="D99" s="979"/>
      <c r="E99" s="979">
        <f t="shared" ref="E99:E101" si="52">+B99-SUM(F99:L99)</f>
        <v>2608151</v>
      </c>
      <c r="F99" s="147"/>
      <c r="G99" s="147"/>
      <c r="H99" s="147">
        <f>+Application!AO629</f>
        <v>1062290</v>
      </c>
      <c r="I99" s="147">
        <f t="shared" ref="I99" si="53">+D99</f>
        <v>0</v>
      </c>
      <c r="J99" s="147"/>
      <c r="K99" s="147"/>
      <c r="L99" s="147"/>
      <c r="M99" s="147"/>
      <c r="N99" s="147"/>
      <c r="O99" s="147"/>
      <c r="P99" s="147"/>
      <c r="Q99" s="147"/>
      <c r="R99" s="516">
        <f>SUM(E99:Q99)</f>
        <v>3670441</v>
      </c>
      <c r="S99" s="147">
        <f t="shared" ref="S99" si="54">+C99</f>
        <v>3670441</v>
      </c>
      <c r="T99" s="147"/>
      <c r="U99" s="143"/>
    </row>
    <row r="100" spans="1:21" s="144" customFormat="1">
      <c r="A100" s="283" t="s">
        <v>1647</v>
      </c>
      <c r="B100" s="146">
        <f>SUM(C100+D100)</f>
        <v>0</v>
      </c>
      <c r="C100" s="147"/>
      <c r="D100" s="147"/>
      <c r="E100" s="147">
        <f t="shared" si="52"/>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52"/>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3670441</v>
      </c>
      <c r="C104" s="146">
        <f>SUM(C99:C103)</f>
        <v>3670441</v>
      </c>
      <c r="D104" s="146">
        <f t="shared" ref="D104:T104" si="55">SUM(D99:D103)</f>
        <v>0</v>
      </c>
      <c r="E104" s="146">
        <f t="shared" si="55"/>
        <v>2608151</v>
      </c>
      <c r="F104" s="146">
        <f t="shared" si="55"/>
        <v>0</v>
      </c>
      <c r="G104" s="146">
        <f t="shared" si="55"/>
        <v>0</v>
      </c>
      <c r="H104" s="146">
        <f t="shared" si="55"/>
        <v>1062290</v>
      </c>
      <c r="I104" s="146">
        <f t="shared" si="55"/>
        <v>0</v>
      </c>
      <c r="J104" s="146">
        <f t="shared" si="55"/>
        <v>0</v>
      </c>
      <c r="K104" s="146">
        <f t="shared" si="55"/>
        <v>0</v>
      </c>
      <c r="L104" s="146">
        <f t="shared" si="55"/>
        <v>0</v>
      </c>
      <c r="M104" s="146">
        <f t="shared" si="55"/>
        <v>0</v>
      </c>
      <c r="N104" s="146">
        <f t="shared" si="55"/>
        <v>0</v>
      </c>
      <c r="O104" s="146">
        <f t="shared" si="55"/>
        <v>0</v>
      </c>
      <c r="P104" s="146">
        <f t="shared" si="55"/>
        <v>0</v>
      </c>
      <c r="Q104" s="146">
        <f t="shared" si="55"/>
        <v>0</v>
      </c>
      <c r="R104" s="342">
        <f t="shared" si="55"/>
        <v>3670441</v>
      </c>
      <c r="S104" s="150">
        <f t="shared" si="55"/>
        <v>3670441</v>
      </c>
      <c r="T104" s="150">
        <f t="shared" si="55"/>
        <v>0</v>
      </c>
      <c r="U104" s="143"/>
    </row>
    <row r="105" spans="1:21" s="144" customFormat="1" ht="12">
      <c r="A105" s="149" t="s">
        <v>781</v>
      </c>
      <c r="B105" s="150">
        <f>SUM(C105:D105)</f>
        <v>41750794</v>
      </c>
      <c r="C105" s="150">
        <f t="shared" ref="C105:R105" si="56">SUM(C97+C104)</f>
        <v>38388196</v>
      </c>
      <c r="D105" s="150">
        <f t="shared" si="56"/>
        <v>3362598</v>
      </c>
      <c r="E105" s="150">
        <f t="shared" si="56"/>
        <v>15893011</v>
      </c>
      <c r="F105" s="150">
        <f t="shared" si="56"/>
        <v>3364493</v>
      </c>
      <c r="G105" s="150">
        <f t="shared" si="56"/>
        <v>2100000</v>
      </c>
      <c r="H105" s="150">
        <f t="shared" si="56"/>
        <v>1062290</v>
      </c>
      <c r="I105" s="150">
        <f t="shared" si="56"/>
        <v>12331000</v>
      </c>
      <c r="J105" s="150">
        <f t="shared" si="56"/>
        <v>1000000</v>
      </c>
      <c r="K105" s="150">
        <f t="shared" si="56"/>
        <v>2000000</v>
      </c>
      <c r="L105" s="150">
        <f t="shared" si="56"/>
        <v>4000000</v>
      </c>
      <c r="M105" s="150">
        <f t="shared" si="56"/>
        <v>0</v>
      </c>
      <c r="N105" s="150">
        <f t="shared" si="56"/>
        <v>0</v>
      </c>
      <c r="O105" s="150">
        <f t="shared" si="56"/>
        <v>0</v>
      </c>
      <c r="P105" s="150">
        <f t="shared" si="56"/>
        <v>0</v>
      </c>
      <c r="Q105" s="150">
        <f t="shared" si="56"/>
        <v>0</v>
      </c>
      <c r="R105" s="342">
        <f t="shared" si="56"/>
        <v>41750794</v>
      </c>
      <c r="S105" s="150">
        <f>S97+S104</f>
        <v>35957052</v>
      </c>
      <c r="T105" s="150">
        <f>T97+T104</f>
        <v>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35957052</v>
      </c>
      <c r="T107" s="150">
        <f>T105+T106</f>
        <v>0</v>
      </c>
    </row>
    <row r="108" spans="1:21" s="189" customFormat="1" ht="12">
      <c r="A108" s="162" t="s">
        <v>880</v>
      </c>
      <c r="B108" s="157"/>
      <c r="C108" s="157"/>
      <c r="D108" s="157"/>
      <c r="E108" s="301">
        <f>Application!AO640</f>
        <v>15893011</v>
      </c>
      <c r="F108" s="301">
        <f>Application!AO627</f>
        <v>3364493</v>
      </c>
      <c r="G108" s="301">
        <f>Application!AO628</f>
        <v>2100000</v>
      </c>
      <c r="H108" s="301">
        <f>Application!AO629</f>
        <v>1062290</v>
      </c>
      <c r="I108" s="301">
        <f>Application!AO630</f>
        <v>12331000</v>
      </c>
      <c r="J108" s="301">
        <f>Application!AO631</f>
        <v>1000000</v>
      </c>
      <c r="K108" s="301">
        <f>Application!AO632</f>
        <v>2000000</v>
      </c>
      <c r="L108" s="301">
        <f>Application!AO633</f>
        <v>4000000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2096</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85" t="s">
        <v>991</v>
      </c>
      <c r="E122" s="1885"/>
      <c r="F122" s="188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7" t="s">
        <v>1225</v>
      </c>
      <c r="E123" s="1571"/>
      <c r="F123" s="1571"/>
      <c r="G123" s="1571"/>
      <c r="H123" s="1571"/>
      <c r="I123" s="1571"/>
      <c r="J123" s="1571"/>
      <c r="K123" s="1571"/>
      <c r="L123" s="1571"/>
      <c r="M123" s="1571"/>
      <c r="N123" s="1571"/>
      <c r="O123" s="1571"/>
      <c r="P123" s="1571"/>
      <c r="Q123" s="1571"/>
      <c r="R123" s="1571"/>
      <c r="S123" s="1571"/>
      <c r="T123" s="324"/>
      <c r="U123" s="326"/>
    </row>
    <row r="124" spans="1:21" ht="13.2">
      <c r="A124" s="117" t="s">
        <v>993</v>
      </c>
      <c r="B124" s="333"/>
      <c r="C124" s="117"/>
      <c r="D124" s="1571"/>
      <c r="E124" s="1571"/>
      <c r="F124" s="1571"/>
      <c r="G124" s="1571"/>
      <c r="H124" s="1571"/>
      <c r="I124" s="1571"/>
      <c r="J124" s="1571"/>
      <c r="K124" s="1571"/>
      <c r="L124" s="1571"/>
      <c r="M124" s="1571"/>
      <c r="N124" s="1571"/>
      <c r="O124" s="1571"/>
      <c r="P124" s="1571"/>
      <c r="Q124" s="1571"/>
      <c r="R124" s="1571"/>
      <c r="S124" s="1571"/>
      <c r="T124" s="324"/>
      <c r="U124" s="326"/>
    </row>
    <row r="125" spans="1:21" ht="13.2">
      <c r="A125" s="117" t="s">
        <v>994</v>
      </c>
      <c r="B125" s="333"/>
      <c r="C125" s="117"/>
      <c r="D125" s="1571"/>
      <c r="E125" s="1571"/>
      <c r="F125" s="1571"/>
      <c r="G125" s="1571"/>
      <c r="H125" s="1571"/>
      <c r="I125" s="1571"/>
      <c r="J125" s="1571"/>
      <c r="K125" s="1571"/>
      <c r="L125" s="1571"/>
      <c r="M125" s="1571"/>
      <c r="N125" s="1571"/>
      <c r="O125" s="1571"/>
      <c r="P125" s="1571"/>
      <c r="Q125" s="1571"/>
      <c r="R125" s="1571"/>
      <c r="S125" s="1571"/>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80"/>
      <c r="E128" s="1880"/>
      <c r="F128" s="1880"/>
      <c r="G128" s="1880"/>
      <c r="H128" s="1880"/>
      <c r="I128" s="117"/>
      <c r="J128" s="1876"/>
      <c r="K128" s="1876"/>
      <c r="L128" s="117"/>
      <c r="M128" s="117"/>
      <c r="N128" s="117"/>
      <c r="O128" s="117"/>
      <c r="P128" s="117"/>
      <c r="Q128" s="117"/>
      <c r="R128" s="117"/>
      <c r="S128" s="117"/>
      <c r="T128" s="324"/>
      <c r="U128" s="326"/>
    </row>
    <row r="129" spans="1:21" ht="13.2">
      <c r="A129" s="117" t="s">
        <v>300</v>
      </c>
      <c r="B129" s="333"/>
      <c r="C129" s="117"/>
      <c r="D129" s="1884" t="s">
        <v>998</v>
      </c>
      <c r="E129" s="1884"/>
      <c r="F129" s="1884"/>
      <c r="G129" s="1884"/>
      <c r="H129" s="188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47"/>
      <c r="E131" s="1547"/>
      <c r="F131" s="1547"/>
      <c r="G131" s="1547"/>
      <c r="H131" s="1547"/>
      <c r="I131" s="117"/>
      <c r="J131" s="1547"/>
      <c r="K131" s="1547"/>
      <c r="L131" s="1547"/>
      <c r="M131" s="1547"/>
      <c r="N131" s="117"/>
      <c r="O131" s="117"/>
      <c r="P131" s="117"/>
      <c r="Q131" s="117"/>
      <c r="R131" s="117"/>
      <c r="S131" s="117"/>
      <c r="T131" s="324"/>
      <c r="U131" s="326"/>
    </row>
    <row r="132" spans="1:21" ht="12" customHeight="1">
      <c r="A132" s="336"/>
      <c r="B132" s="117"/>
      <c r="C132" s="117"/>
      <c r="D132" s="1878" t="s">
        <v>1001</v>
      </c>
      <c r="E132" s="1878"/>
      <c r="F132" s="1878"/>
      <c r="G132" s="1878"/>
      <c r="H132" s="1878"/>
      <c r="I132" s="117"/>
      <c r="J132" s="1878" t="s">
        <v>1002</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80"/>
      <c r="C138" s="1880"/>
      <c r="D138" s="328"/>
      <c r="E138" s="1876"/>
      <c r="F138" s="1876"/>
      <c r="G138" s="117"/>
      <c r="H138" s="117"/>
      <c r="I138" s="117"/>
      <c r="J138" s="117"/>
      <c r="K138" s="117"/>
      <c r="L138" s="117"/>
      <c r="M138" s="117"/>
      <c r="N138" s="117"/>
      <c r="O138" s="117"/>
      <c r="P138" s="117"/>
      <c r="Q138" s="117"/>
      <c r="R138" s="117"/>
      <c r="S138" s="117"/>
      <c r="T138" s="330"/>
      <c r="U138" s="331"/>
    </row>
    <row r="139" spans="1:21" ht="13.2">
      <c r="A139" s="1875" t="s">
        <v>1005</v>
      </c>
      <c r="B139" s="1875"/>
      <c r="C139" s="1875"/>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2" workbookViewId="0">
      <selection activeCell="C99" sqref="C99"/>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88" t="s">
        <v>1228</v>
      </c>
      <c r="B1" s="1889"/>
      <c r="C1" s="1889"/>
      <c r="D1" s="1889"/>
      <c r="E1" s="1889"/>
      <c r="F1" s="1889"/>
      <c r="G1" s="1889"/>
      <c r="H1" s="1889"/>
      <c r="I1" s="1889"/>
      <c r="J1" s="189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1890000</v>
      </c>
      <c r="C4" s="362">
        <f>+B4</f>
        <v>1890000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1890000</v>
      </c>
      <c r="C8" s="361">
        <f>SUM(C4:C7)</f>
        <v>1890000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1890000</v>
      </c>
      <c r="C12" s="361">
        <f>SUM(C8+C11)</f>
        <v>1890000</v>
      </c>
      <c r="D12" s="361">
        <f>SUM(D8+D11)</f>
        <v>0</v>
      </c>
      <c r="E12" s="363"/>
      <c r="F12" s="363"/>
      <c r="G12" s="363"/>
      <c r="H12" s="363"/>
      <c r="I12" s="363"/>
      <c r="J12" s="363"/>
      <c r="K12" s="359"/>
    </row>
    <row r="13" spans="1:11" s="360" customFormat="1" ht="11.4">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1282976</v>
      </c>
      <c r="C29" s="362">
        <f t="shared" ref="C29:C37" si="0">+B29</f>
        <v>1282976</v>
      </c>
      <c r="D29" s="362"/>
      <c r="E29" s="361">
        <f>'Sources and Uses Budget'!S29</f>
        <v>1282976</v>
      </c>
      <c r="F29" s="362">
        <f t="shared" ref="F29:F37" si="1">+E29</f>
        <v>1282976</v>
      </c>
      <c r="G29" s="362"/>
      <c r="H29" s="361">
        <f>'Sources and Uses Budget'!T29</f>
        <v>0</v>
      </c>
      <c r="I29" s="362"/>
      <c r="J29" s="362"/>
      <c r="K29" s="359"/>
    </row>
    <row r="30" spans="1:11" s="360" customFormat="1" ht="11.4">
      <c r="A30" s="145" t="s">
        <v>600</v>
      </c>
      <c r="B30" s="361">
        <f>'Sources and Uses Budget'!C30</f>
        <v>19556548</v>
      </c>
      <c r="C30" s="362">
        <f t="shared" si="0"/>
        <v>19556548</v>
      </c>
      <c r="D30" s="362"/>
      <c r="E30" s="361">
        <f>'Sources and Uses Budget'!S30</f>
        <v>19556548</v>
      </c>
      <c r="F30" s="362">
        <f t="shared" si="1"/>
        <v>19556548</v>
      </c>
      <c r="G30" s="362"/>
      <c r="H30" s="361">
        <f>'Sources and Uses Budget'!T30</f>
        <v>0</v>
      </c>
      <c r="I30" s="362"/>
      <c r="J30" s="362"/>
      <c r="K30" s="359"/>
    </row>
    <row r="31" spans="1:11" s="360" customFormat="1" ht="11.4">
      <c r="A31" s="145" t="s">
        <v>601</v>
      </c>
      <c r="B31" s="361">
        <f>'Sources and Uses Budget'!C31</f>
        <v>1250371</v>
      </c>
      <c r="C31" s="362">
        <f t="shared" si="0"/>
        <v>1250371</v>
      </c>
      <c r="D31" s="362"/>
      <c r="E31" s="361">
        <f>'Sources and Uses Budget'!S31</f>
        <v>1250371</v>
      </c>
      <c r="F31" s="362">
        <f t="shared" si="1"/>
        <v>1250371</v>
      </c>
      <c r="G31" s="362"/>
      <c r="H31" s="361">
        <f>'Sources and Uses Budget'!T31</f>
        <v>0</v>
      </c>
      <c r="I31" s="362"/>
      <c r="J31" s="362"/>
      <c r="K31" s="359"/>
    </row>
    <row r="32" spans="1:11" s="360" customFormat="1" ht="11.4">
      <c r="A32" s="145" t="s">
        <v>137</v>
      </c>
      <c r="B32" s="361">
        <f>'Sources and Uses Budget'!C32</f>
        <v>441798</v>
      </c>
      <c r="C32" s="362">
        <f t="shared" si="0"/>
        <v>441798</v>
      </c>
      <c r="D32" s="362"/>
      <c r="E32" s="361">
        <f>'Sources and Uses Budget'!S32</f>
        <v>441798</v>
      </c>
      <c r="F32" s="362">
        <f t="shared" si="1"/>
        <v>441798</v>
      </c>
      <c r="G32" s="362"/>
      <c r="H32" s="361">
        <f>'Sources and Uses Budget'!T32</f>
        <v>0</v>
      </c>
      <c r="I32" s="362"/>
      <c r="J32" s="362"/>
      <c r="K32" s="359"/>
    </row>
    <row r="33" spans="1:11" s="360" customFormat="1" ht="11.4">
      <c r="A33" s="145" t="s">
        <v>138</v>
      </c>
      <c r="B33" s="361">
        <f>'Sources and Uses Budget'!C33</f>
        <v>1325394</v>
      </c>
      <c r="C33" s="362">
        <f t="shared" si="0"/>
        <v>1325394</v>
      </c>
      <c r="D33" s="362"/>
      <c r="E33" s="361">
        <f>'Sources and Uses Budget'!S33</f>
        <v>1325394</v>
      </c>
      <c r="F33" s="362">
        <f t="shared" si="1"/>
        <v>1325394</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715713</v>
      </c>
      <c r="C35" s="362">
        <f t="shared" si="0"/>
        <v>715713</v>
      </c>
      <c r="D35" s="362"/>
      <c r="E35" s="361">
        <f>'Sources and Uses Budget'!S35</f>
        <v>715713</v>
      </c>
      <c r="F35" s="362">
        <f t="shared" si="1"/>
        <v>715713</v>
      </c>
      <c r="G35" s="362"/>
      <c r="H35" s="361">
        <f>'Sources and Uses Budget'!T35</f>
        <v>0</v>
      </c>
      <c r="I35" s="362"/>
      <c r="J35" s="362"/>
      <c r="K35" s="359"/>
    </row>
    <row r="36" spans="1:11" s="360" customFormat="1" ht="11.4">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24572800</v>
      </c>
      <c r="C38" s="361">
        <f>SUM(C29:C37)</f>
        <v>24572800</v>
      </c>
      <c r="D38" s="361">
        <f>SUM(D29:D37)</f>
        <v>0</v>
      </c>
      <c r="E38" s="361">
        <f>'Sources and Uses Budget'!S38</f>
        <v>24572800</v>
      </c>
      <c r="F38" s="367">
        <f>SUM(F29:F37)</f>
        <v>24572800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477142</v>
      </c>
      <c r="C40" s="362">
        <f t="shared" ref="C40:C41" si="2">+B40</f>
        <v>477142</v>
      </c>
      <c r="D40" s="362"/>
      <c r="E40" s="361">
        <f>'Sources and Uses Budget'!S40</f>
        <v>477142</v>
      </c>
      <c r="F40" s="362">
        <f t="shared" ref="F40:F41" si="3">+E40</f>
        <v>477142</v>
      </c>
      <c r="G40" s="362"/>
      <c r="H40" s="361">
        <f>'Sources and Uses Budget'!T40</f>
        <v>0</v>
      </c>
      <c r="I40" s="362"/>
      <c r="J40" s="362"/>
      <c r="K40" s="359"/>
    </row>
    <row r="41" spans="1:11" s="360" customFormat="1" ht="11.4">
      <c r="A41" s="364" t="s">
        <v>146</v>
      </c>
      <c r="B41" s="361">
        <f>'Sources and Uses Budget'!C41</f>
        <v>477142</v>
      </c>
      <c r="C41" s="362">
        <f t="shared" si="2"/>
        <v>477142</v>
      </c>
      <c r="D41" s="362"/>
      <c r="E41" s="361">
        <f>'Sources and Uses Budget'!S41</f>
        <v>477142</v>
      </c>
      <c r="F41" s="362">
        <f t="shared" si="3"/>
        <v>477142</v>
      </c>
      <c r="G41" s="362"/>
      <c r="H41" s="361">
        <f>'Sources and Uses Budget'!T41</f>
        <v>0</v>
      </c>
      <c r="I41" s="362"/>
      <c r="J41" s="362"/>
      <c r="K41" s="359"/>
    </row>
    <row r="42" spans="1:11" s="360" customFormat="1">
      <c r="A42" s="365" t="s">
        <v>147</v>
      </c>
      <c r="B42" s="361">
        <f>'Sources and Uses Budget'!C42</f>
        <v>954284</v>
      </c>
      <c r="C42" s="361">
        <f>SUM(C39:C41)</f>
        <v>954284</v>
      </c>
      <c r="D42" s="361">
        <f>SUM(D39:D41)</f>
        <v>0</v>
      </c>
      <c r="E42" s="361">
        <f>'Sources and Uses Budget'!S42</f>
        <v>954284</v>
      </c>
      <c r="F42" s="367">
        <f>SUM(F40:F41)</f>
        <v>954284</v>
      </c>
      <c r="G42" s="367">
        <f>SUM(G40:G41)</f>
        <v>0</v>
      </c>
      <c r="H42" s="361">
        <f>'Sources and Uses Budget'!T42</f>
        <v>0</v>
      </c>
      <c r="I42" s="367">
        <f>SUM(I40:I41)</f>
        <v>0</v>
      </c>
      <c r="J42" s="367">
        <f>SUM(J40:J41)</f>
        <v>0</v>
      </c>
      <c r="K42" s="359"/>
    </row>
    <row r="43" spans="1:11" s="360" customFormat="1">
      <c r="A43" s="365" t="s">
        <v>148</v>
      </c>
      <c r="B43" s="361">
        <f>'Sources and Uses Budget'!C43</f>
        <v>225000</v>
      </c>
      <c r="C43" s="362">
        <f>+B43</f>
        <v>225000</v>
      </c>
      <c r="D43" s="362"/>
      <c r="E43" s="361">
        <f>'Sources and Uses Budget'!S43</f>
        <v>225000</v>
      </c>
      <c r="F43" s="362">
        <f>+E43</f>
        <v>225000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1500000</v>
      </c>
      <c r="C45" s="362">
        <f t="shared" ref="C45:C53" si="4">+B45</f>
        <v>1500000</v>
      </c>
      <c r="D45" s="362"/>
      <c r="E45" s="361">
        <f>'Sources and Uses Budget'!S45</f>
        <v>1500000</v>
      </c>
      <c r="F45" s="362">
        <f t="shared" ref="F45:F53" si="5">+E45</f>
        <v>1500000</v>
      </c>
      <c r="G45" s="362"/>
      <c r="H45" s="361">
        <f>'Sources and Uses Budget'!T45</f>
        <v>0</v>
      </c>
      <c r="I45" s="362"/>
      <c r="J45" s="362"/>
      <c r="K45" s="359"/>
    </row>
    <row r="46" spans="1:11" s="360" customFormat="1" ht="11.4">
      <c r="A46" s="364" t="s">
        <v>151</v>
      </c>
      <c r="B46" s="361">
        <f>'Sources and Uses Budget'!C46</f>
        <v>193745</v>
      </c>
      <c r="C46" s="362">
        <f t="shared" si="4"/>
        <v>193745</v>
      </c>
      <c r="D46" s="362"/>
      <c r="E46" s="361">
        <f>'Sources and Uses Budget'!S46</f>
        <v>193745</v>
      </c>
      <c r="F46" s="362">
        <f t="shared" si="5"/>
        <v>193745</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ht="11.4">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ht="11.4">
      <c r="A49" s="283" t="s">
        <v>57</v>
      </c>
      <c r="B49" s="361">
        <f>'Sources and Uses Budget'!C49</f>
        <v>178656</v>
      </c>
      <c r="C49" s="362">
        <f t="shared" si="4"/>
        <v>178656</v>
      </c>
      <c r="D49" s="362"/>
      <c r="E49" s="361">
        <f>'Sources and Uses Budget'!S49</f>
        <v>0</v>
      </c>
      <c r="F49" s="362">
        <f t="shared" si="5"/>
        <v>0</v>
      </c>
      <c r="G49" s="362"/>
      <c r="H49" s="361">
        <f>'Sources and Uses Budget'!T49</f>
        <v>0</v>
      </c>
      <c r="I49" s="362"/>
      <c r="J49" s="362"/>
      <c r="K49" s="359"/>
    </row>
    <row r="50" spans="1:11" s="360" customFormat="1" ht="11.4">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ht="11.4">
      <c r="A51" s="364" t="s">
        <v>154</v>
      </c>
      <c r="B51" s="361">
        <f>'Sources and Uses Budget'!C51</f>
        <v>42000</v>
      </c>
      <c r="C51" s="362">
        <f t="shared" si="4"/>
        <v>42000</v>
      </c>
      <c r="D51" s="362"/>
      <c r="E51" s="361">
        <f>'Sources and Uses Budget'!S51</f>
        <v>42000</v>
      </c>
      <c r="F51" s="362">
        <f t="shared" si="5"/>
        <v>42000</v>
      </c>
      <c r="G51" s="362"/>
      <c r="H51" s="361">
        <f>'Sources and Uses Budget'!T51</f>
        <v>0</v>
      </c>
      <c r="I51" s="362"/>
      <c r="J51" s="362"/>
      <c r="K51" s="359"/>
    </row>
    <row r="52" spans="1:11" s="360" customFormat="1" ht="11.4">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ht="11.4">
      <c r="A53" s="364" t="str">
        <f>'Sources and Uses Budget'!$A53</f>
        <v>Inspection Fees</v>
      </c>
      <c r="B53" s="361">
        <f>'Sources and Uses Budget'!C53</f>
        <v>18000</v>
      </c>
      <c r="C53" s="362">
        <f t="shared" si="4"/>
        <v>18000</v>
      </c>
      <c r="D53" s="362"/>
      <c r="E53" s="361">
        <f>'Sources and Uses Budget'!S53</f>
        <v>18000</v>
      </c>
      <c r="F53" s="362">
        <f t="shared" si="5"/>
        <v>18000</v>
      </c>
      <c r="G53" s="362"/>
      <c r="H53" s="361">
        <f>'Sources and Uses Budget'!T53</f>
        <v>0</v>
      </c>
      <c r="I53" s="362"/>
      <c r="J53" s="362"/>
      <c r="K53" s="359"/>
    </row>
    <row r="54" spans="1:11" s="369" customFormat="1">
      <c r="A54" s="365" t="s">
        <v>157</v>
      </c>
      <c r="B54" s="361">
        <f>'Sources and Uses Budget'!C54</f>
        <v>2007401</v>
      </c>
      <c r="C54" s="367">
        <f>SUM(C45:C53)</f>
        <v>2007401</v>
      </c>
      <c r="D54" s="367">
        <f>SUM(D45:D53)</f>
        <v>0</v>
      </c>
      <c r="E54" s="361">
        <f>'Sources and Uses Budget'!S54</f>
        <v>1828745</v>
      </c>
      <c r="F54" s="367">
        <f>SUM(F45:F53)</f>
        <v>1828745</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f t="shared" ref="C57:C60" si="6">+B57</f>
        <v>10000</v>
      </c>
      <c r="D57" s="362"/>
      <c r="E57" s="363"/>
      <c r="F57" s="363"/>
      <c r="G57" s="363"/>
      <c r="H57" s="363"/>
      <c r="I57" s="363"/>
      <c r="J57" s="363"/>
      <c r="K57" s="359"/>
    </row>
    <row r="58" spans="1:11" s="360" customFormat="1" ht="11.4">
      <c r="A58" s="364" t="s">
        <v>156</v>
      </c>
      <c r="B58" s="361">
        <f>'Sources and Uses Budget'!C58</f>
        <v>5000</v>
      </c>
      <c r="C58" s="362">
        <f t="shared" si="6"/>
        <v>5000</v>
      </c>
      <c r="D58" s="362"/>
      <c r="E58" s="363"/>
      <c r="F58" s="363"/>
      <c r="G58" s="363"/>
      <c r="H58" s="363"/>
      <c r="I58" s="363"/>
      <c r="J58" s="363"/>
      <c r="K58" s="359"/>
    </row>
    <row r="59" spans="1:11" s="360" customFormat="1" ht="11.4">
      <c r="A59" s="364" t="s">
        <v>154</v>
      </c>
      <c r="B59" s="361">
        <f>'Sources and Uses Budget'!C59</f>
        <v>0</v>
      </c>
      <c r="C59" s="362">
        <f t="shared" si="6"/>
        <v>0</v>
      </c>
      <c r="D59" s="362"/>
      <c r="E59" s="363"/>
      <c r="F59" s="363"/>
      <c r="G59" s="363"/>
      <c r="H59" s="363"/>
      <c r="I59" s="363"/>
      <c r="J59" s="363"/>
      <c r="K59" s="359"/>
    </row>
    <row r="60" spans="1:11" s="360" customFormat="1" ht="11.4">
      <c r="A60" s="364" t="s">
        <v>155</v>
      </c>
      <c r="B60" s="361">
        <f>'Sources and Uses Budget'!C60</f>
        <v>0</v>
      </c>
      <c r="C60" s="362">
        <f t="shared" si="6"/>
        <v>0</v>
      </c>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15000</v>
      </c>
      <c r="C62" s="361">
        <f>SUM(C56:C61)</f>
        <v>15000</v>
      </c>
      <c r="D62" s="361">
        <f>SUM(D56:D61)</f>
        <v>0</v>
      </c>
      <c r="E62" s="363"/>
      <c r="F62" s="363"/>
      <c r="G62" s="363"/>
      <c r="H62" s="363"/>
      <c r="I62" s="363"/>
      <c r="J62" s="363"/>
      <c r="K62" s="359"/>
    </row>
    <row r="63" spans="1:11" s="360" customFormat="1" ht="11.4">
      <c r="A63" s="370" t="s">
        <v>302</v>
      </c>
      <c r="B63" s="361">
        <f>'Sources and Uses Budget'!C63</f>
        <v>29664485</v>
      </c>
      <c r="C63" s="361">
        <f>SUM(C8+C11+C13+C14+C15+C26+C27+C38+C42+C43+C54+C62)</f>
        <v>29664485</v>
      </c>
      <c r="D63" s="361">
        <f>SUM(D8+D11+D13+D14+D15+D26+D27+D38+D42+D43+D54+D62)</f>
        <v>0</v>
      </c>
      <c r="E63" s="361">
        <f>'Sources and Uses Budget'!S63</f>
        <v>27580829</v>
      </c>
      <c r="F63" s="361">
        <f>SUM(F10+F13+F14+F15+F26+F27+F38+F42+F43+F54)</f>
        <v>27580829</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58500</v>
      </c>
      <c r="C65" s="362">
        <f>+B65</f>
        <v>58500</v>
      </c>
      <c r="D65" s="362"/>
      <c r="E65" s="361">
        <f>'Sources and Uses Budget'!S65</f>
        <v>58500</v>
      </c>
      <c r="F65" s="362">
        <f>+E65</f>
        <v>58500</v>
      </c>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Borrower's Attorney</v>
      </c>
      <c r="B69" s="361">
        <f>'Sources and Uses Budget'!C69</f>
        <v>45000</v>
      </c>
      <c r="C69" s="362">
        <f>+B69</f>
        <v>45000</v>
      </c>
      <c r="D69" s="362"/>
      <c r="E69" s="361">
        <f>'Sources and Uses Budget'!S69</f>
        <v>45000</v>
      </c>
      <c r="F69" s="362">
        <f>+E69</f>
        <v>45000</v>
      </c>
      <c r="G69" s="362"/>
      <c r="H69" s="361">
        <f>'Sources and Uses Budget'!T69</f>
        <v>0</v>
      </c>
      <c r="I69" s="362"/>
      <c r="J69" s="362"/>
      <c r="K69" s="359"/>
    </row>
    <row r="70" spans="1:11" s="360" customFormat="1">
      <c r="A70" s="365" t="s">
        <v>602</v>
      </c>
      <c r="B70" s="361">
        <f>'Sources and Uses Budget'!C70</f>
        <v>103500</v>
      </c>
      <c r="C70" s="361">
        <f>SUM(C64:C69)</f>
        <v>103500</v>
      </c>
      <c r="D70" s="361">
        <f>SUM(D64:D69)</f>
        <v>0</v>
      </c>
      <c r="E70" s="361">
        <f>'Sources and Uses Budget'!S70</f>
        <v>103500</v>
      </c>
      <c r="F70" s="367">
        <f>SUM(F65:F69)</f>
        <v>103500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30000</v>
      </c>
      <c r="C72" s="362">
        <f t="shared" ref="C72:C76" si="7">+B72</f>
        <v>30000</v>
      </c>
      <c r="D72" s="362"/>
      <c r="E72" s="363"/>
      <c r="F72" s="363"/>
      <c r="G72" s="363"/>
      <c r="H72" s="363"/>
      <c r="I72" s="363"/>
      <c r="J72" s="363"/>
      <c r="K72" s="359"/>
    </row>
    <row r="73" spans="1:11" s="360" customFormat="1" ht="11.4">
      <c r="A73" s="364" t="s">
        <v>605</v>
      </c>
      <c r="B73" s="361">
        <f>'Sources and Uses Budget'!C73</f>
        <v>0</v>
      </c>
      <c r="C73" s="362">
        <f t="shared" si="7"/>
        <v>0</v>
      </c>
      <c r="D73" s="362"/>
      <c r="E73" s="363"/>
      <c r="F73" s="363"/>
      <c r="G73" s="363"/>
      <c r="H73" s="363"/>
      <c r="I73" s="363"/>
      <c r="J73" s="363"/>
      <c r="K73" s="359"/>
    </row>
    <row r="74" spans="1:11" s="360" customFormat="1" ht="11.4">
      <c r="A74" s="366" t="s">
        <v>987</v>
      </c>
      <c r="B74" s="361">
        <f>'Sources and Uses Budget'!C74</f>
        <v>0</v>
      </c>
      <c r="C74" s="362">
        <f t="shared" si="7"/>
        <v>0</v>
      </c>
      <c r="D74" s="362"/>
      <c r="E74" s="363"/>
      <c r="F74" s="363"/>
      <c r="G74" s="363"/>
      <c r="H74" s="363"/>
      <c r="I74" s="363"/>
      <c r="J74" s="363"/>
      <c r="K74" s="359"/>
    </row>
    <row r="75" spans="1:11" s="360" customFormat="1" ht="11.4">
      <c r="A75" s="364" t="s">
        <v>606</v>
      </c>
      <c r="B75" s="361">
        <f>'Sources and Uses Budget'!C75</f>
        <v>126064</v>
      </c>
      <c r="C75" s="362">
        <f t="shared" si="7"/>
        <v>126064</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7"/>
        <v>0</v>
      </c>
      <c r="D76" s="362"/>
      <c r="E76" s="363"/>
      <c r="F76" s="363"/>
      <c r="G76" s="363"/>
      <c r="H76" s="363"/>
      <c r="I76" s="363"/>
      <c r="J76" s="363"/>
      <c r="K76" s="359"/>
    </row>
    <row r="77" spans="1:11" s="360" customFormat="1">
      <c r="A77" s="365" t="s">
        <v>607</v>
      </c>
      <c r="B77" s="361">
        <f>'Sources and Uses Budget'!C77</f>
        <v>156064</v>
      </c>
      <c r="C77" s="361">
        <f>SUM(C72:C76)</f>
        <v>156064</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1228640</v>
      </c>
      <c r="C79" s="362">
        <f t="shared" ref="C79:C80" si="8">+B79</f>
        <v>1228640</v>
      </c>
      <c r="D79" s="362"/>
      <c r="E79" s="361">
        <f>'Sources and Uses Budget'!S79</f>
        <v>1228640</v>
      </c>
      <c r="F79" s="362">
        <f t="shared" ref="F79:F80" si="9">+E79</f>
        <v>1228640</v>
      </c>
      <c r="G79" s="362"/>
      <c r="H79" s="361">
        <f>'Sources and Uses Budget'!T79</f>
        <v>0</v>
      </c>
      <c r="I79" s="362"/>
      <c r="J79" s="362"/>
      <c r="K79" s="359"/>
    </row>
    <row r="80" spans="1:11" s="360" customFormat="1" ht="11.4">
      <c r="A80" s="364" t="s">
        <v>58</v>
      </c>
      <c r="B80" s="361">
        <f>'Sources and Uses Budget'!C80</f>
        <v>162296</v>
      </c>
      <c r="C80" s="362">
        <f t="shared" si="8"/>
        <v>162296</v>
      </c>
      <c r="D80" s="362"/>
      <c r="E80" s="361">
        <f>'Sources and Uses Budget'!S80</f>
        <v>162296</v>
      </c>
      <c r="F80" s="362">
        <f t="shared" si="9"/>
        <v>162296</v>
      </c>
      <c r="G80" s="362"/>
      <c r="H80" s="361">
        <f>'Sources and Uses Budget'!T80</f>
        <v>0</v>
      </c>
      <c r="I80" s="362"/>
      <c r="J80" s="362"/>
      <c r="K80" s="359"/>
    </row>
    <row r="81" spans="1:11" s="360" customFormat="1">
      <c r="A81" s="365" t="s">
        <v>1210</v>
      </c>
      <c r="B81" s="361">
        <f>'Sources and Uses Budget'!C81</f>
        <v>1390936</v>
      </c>
      <c r="C81" s="361">
        <f>SUM(C79:C80)</f>
        <v>1390936</v>
      </c>
      <c r="D81" s="361">
        <f>SUM(D79:D80)</f>
        <v>0</v>
      </c>
      <c r="E81" s="361">
        <f>'Sources and Uses Budget'!S81</f>
        <v>1390936</v>
      </c>
      <c r="F81" s="361">
        <f>SUM(F79:F80)</f>
        <v>1390936</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121934</v>
      </c>
      <c r="C83" s="362">
        <f t="shared" ref="C83:C95" si="10">+B83</f>
        <v>121934</v>
      </c>
      <c r="D83" s="362"/>
      <c r="E83" s="363"/>
      <c r="F83" s="363"/>
      <c r="G83" s="363"/>
      <c r="H83" s="363"/>
      <c r="I83" s="363"/>
      <c r="J83" s="363"/>
      <c r="K83" s="359"/>
    </row>
    <row r="84" spans="1:11" s="360" customFormat="1" ht="11.4">
      <c r="A84" s="145" t="s">
        <v>768</v>
      </c>
      <c r="B84" s="361">
        <f>'Sources and Uses Budget'!C84</f>
        <v>6300</v>
      </c>
      <c r="C84" s="362">
        <f t="shared" si="10"/>
        <v>6300</v>
      </c>
      <c r="D84" s="362"/>
      <c r="E84" s="361">
        <f>'Sources and Uses Budget'!S84</f>
        <v>6300</v>
      </c>
      <c r="F84" s="362">
        <f t="shared" ref="F84:F87" si="11">+E84</f>
        <v>6300</v>
      </c>
      <c r="G84" s="362"/>
      <c r="H84" s="361">
        <f>'Sources and Uses Budget'!T84</f>
        <v>0</v>
      </c>
      <c r="I84" s="362"/>
      <c r="J84" s="362"/>
      <c r="K84" s="359"/>
    </row>
    <row r="85" spans="1:11" s="360" customFormat="1" ht="11.4">
      <c r="A85" s="145" t="s">
        <v>769</v>
      </c>
      <c r="B85" s="361">
        <f>'Sources and Uses Budget'!C85</f>
        <v>652544</v>
      </c>
      <c r="C85" s="362">
        <f t="shared" si="10"/>
        <v>652544</v>
      </c>
      <c r="D85" s="362"/>
      <c r="E85" s="361">
        <f>'Sources and Uses Budget'!S85</f>
        <v>652544</v>
      </c>
      <c r="F85" s="362">
        <f t="shared" si="11"/>
        <v>652544</v>
      </c>
      <c r="G85" s="362"/>
      <c r="H85" s="361">
        <f>'Sources and Uses Budget'!T85</f>
        <v>0</v>
      </c>
      <c r="I85" s="362"/>
      <c r="J85" s="362"/>
      <c r="K85" s="359"/>
    </row>
    <row r="86" spans="1:11" s="360" customFormat="1" ht="11.4">
      <c r="A86" s="145" t="s">
        <v>770</v>
      </c>
      <c r="B86" s="361">
        <f>'Sources and Uses Budget'!C86</f>
        <v>450000</v>
      </c>
      <c r="C86" s="362">
        <f t="shared" si="10"/>
        <v>450000</v>
      </c>
      <c r="D86" s="362"/>
      <c r="E86" s="361">
        <f>'Sources and Uses Budget'!S86</f>
        <v>450000</v>
      </c>
      <c r="F86" s="362">
        <f t="shared" si="11"/>
        <v>450000</v>
      </c>
      <c r="G86" s="362"/>
      <c r="H86" s="361">
        <f>'Sources and Uses Budget'!T86</f>
        <v>0</v>
      </c>
      <c r="I86" s="362"/>
      <c r="J86" s="362"/>
      <c r="K86" s="359"/>
    </row>
    <row r="87" spans="1:11" s="360" customFormat="1" ht="11.4">
      <c r="A87" s="145" t="s">
        <v>771</v>
      </c>
      <c r="B87" s="361">
        <f>'Sources and Uses Budget'!C87</f>
        <v>0</v>
      </c>
      <c r="C87" s="362">
        <f t="shared" si="10"/>
        <v>0</v>
      </c>
      <c r="D87" s="362"/>
      <c r="E87" s="361">
        <f>'Sources and Uses Budget'!S87</f>
        <v>0</v>
      </c>
      <c r="F87" s="362">
        <f t="shared" si="11"/>
        <v>0</v>
      </c>
      <c r="G87" s="362"/>
      <c r="H87" s="361">
        <f>'Sources and Uses Budget'!T87</f>
        <v>0</v>
      </c>
      <c r="I87" s="362"/>
      <c r="J87" s="362"/>
      <c r="K87" s="359"/>
    </row>
    <row r="88" spans="1:11" s="360" customFormat="1" ht="11.4">
      <c r="A88" s="145" t="s">
        <v>772</v>
      </c>
      <c r="B88" s="361">
        <f>'Sources and Uses Budget'!C88</f>
        <v>69490</v>
      </c>
      <c r="C88" s="362">
        <f t="shared" si="10"/>
        <v>69490</v>
      </c>
      <c r="D88" s="362"/>
      <c r="E88" s="363"/>
      <c r="F88" s="363"/>
      <c r="G88" s="363"/>
      <c r="H88" s="363"/>
      <c r="I88" s="363"/>
      <c r="J88" s="363"/>
      <c r="K88" s="359"/>
    </row>
    <row r="89" spans="1:11" s="360" customFormat="1" ht="11.4">
      <c r="A89" s="145" t="s">
        <v>773</v>
      </c>
      <c r="B89" s="361">
        <f>'Sources and Uses Budget'!C89</f>
        <v>40002</v>
      </c>
      <c r="C89" s="362">
        <f t="shared" si="10"/>
        <v>40002</v>
      </c>
      <c r="D89" s="362"/>
      <c r="E89" s="361">
        <f>'Sources and Uses Budget'!S89</f>
        <v>40002</v>
      </c>
      <c r="F89" s="362">
        <f t="shared" ref="F89:F95" si="12">+E89</f>
        <v>40002</v>
      </c>
      <c r="G89" s="362"/>
      <c r="H89" s="361">
        <f>'Sources and Uses Budget'!T89</f>
        <v>0</v>
      </c>
      <c r="I89" s="362"/>
      <c r="J89" s="362"/>
      <c r="K89" s="359"/>
    </row>
    <row r="90" spans="1:11" s="360" customFormat="1" ht="11.4">
      <c r="A90" s="145" t="s">
        <v>774</v>
      </c>
      <c r="B90" s="361">
        <f>'Sources and Uses Budget'!C90</f>
        <v>10000</v>
      </c>
      <c r="C90" s="362">
        <f t="shared" si="10"/>
        <v>10000</v>
      </c>
      <c r="D90" s="362"/>
      <c r="E90" s="361">
        <f>'Sources and Uses Budget'!S90</f>
        <v>10000</v>
      </c>
      <c r="F90" s="362">
        <f t="shared" si="12"/>
        <v>10000</v>
      </c>
      <c r="G90" s="362"/>
      <c r="H90" s="361">
        <f>'Sources and Uses Budget'!T90</f>
        <v>0</v>
      </c>
      <c r="I90" s="362"/>
      <c r="J90" s="362"/>
      <c r="K90" s="359"/>
    </row>
    <row r="91" spans="1:11" s="360" customFormat="1" ht="11.4">
      <c r="A91" s="155" t="s">
        <v>372</v>
      </c>
      <c r="B91" s="361">
        <f>'Sources and Uses Budget'!C91</f>
        <v>45000</v>
      </c>
      <c r="C91" s="362">
        <f t="shared" si="10"/>
        <v>45000</v>
      </c>
      <c r="D91" s="362"/>
      <c r="E91" s="361">
        <f>'Sources and Uses Budget'!S91</f>
        <v>45000</v>
      </c>
      <c r="F91" s="362">
        <f t="shared" si="12"/>
        <v>45000</v>
      </c>
      <c r="G91" s="362"/>
      <c r="H91" s="361">
        <f>'Sources and Uses Budget'!T91</f>
        <v>0</v>
      </c>
      <c r="I91" s="362"/>
      <c r="J91" s="362"/>
      <c r="K91" s="359"/>
    </row>
    <row r="92" spans="1:11" s="360" customFormat="1" ht="11.4">
      <c r="A92" s="508" t="s">
        <v>1212</v>
      </c>
      <c r="B92" s="361">
        <f>'Sources and Uses Budget'!C92</f>
        <v>7500</v>
      </c>
      <c r="C92" s="362">
        <f t="shared" si="10"/>
        <v>7500</v>
      </c>
      <c r="D92" s="362"/>
      <c r="E92" s="361">
        <f>'Sources and Uses Budget'!S92</f>
        <v>7500</v>
      </c>
      <c r="F92" s="362">
        <f t="shared" si="12"/>
        <v>7500</v>
      </c>
      <c r="G92" s="362"/>
      <c r="H92" s="361">
        <f>'Sources and Uses Budget'!T92</f>
        <v>0</v>
      </c>
      <c r="I92" s="362"/>
      <c r="J92" s="362"/>
      <c r="K92" s="359"/>
    </row>
    <row r="93" spans="1:11" s="360" customFormat="1" ht="11.4">
      <c r="A93" s="364" t="str">
        <f>'Sources and Uses Budget'!$A93</f>
        <v>City of Eureka DDA Fees</v>
      </c>
      <c r="B93" s="361">
        <f>'Sources and Uses Budget'!C93</f>
        <v>2000000</v>
      </c>
      <c r="C93" s="362">
        <f t="shared" si="10"/>
        <v>2000000</v>
      </c>
      <c r="D93" s="362"/>
      <c r="E93" s="361">
        <f>'Sources and Uses Budget'!S93</f>
        <v>2000000</v>
      </c>
      <c r="F93" s="362">
        <f t="shared" si="12"/>
        <v>2000000</v>
      </c>
      <c r="G93" s="362"/>
      <c r="H93" s="361">
        <f>'Sources and Uses Budget'!T93</f>
        <v>0</v>
      </c>
      <c r="I93" s="362"/>
      <c r="J93" s="362"/>
      <c r="K93" s="359"/>
    </row>
    <row r="94" spans="1:11" s="360" customFormat="1" ht="11.4">
      <c r="A94" s="364" t="str">
        <f>'Sources and Uses Budget'!$A94</f>
        <v>Other: (Specify)</v>
      </c>
      <c r="B94" s="361">
        <f>'Sources and Uses Budget'!C94</f>
        <v>0</v>
      </c>
      <c r="C94" s="362">
        <f t="shared" si="10"/>
        <v>0</v>
      </c>
      <c r="D94" s="362"/>
      <c r="E94" s="361">
        <f>'Sources and Uses Budget'!S94</f>
        <v>0</v>
      </c>
      <c r="F94" s="362">
        <f t="shared" si="12"/>
        <v>0</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10"/>
        <v>0</v>
      </c>
      <c r="D95" s="362"/>
      <c r="E95" s="361">
        <f>'Sources and Uses Budget'!S95</f>
        <v>0</v>
      </c>
      <c r="F95" s="362">
        <f t="shared" si="12"/>
        <v>0</v>
      </c>
      <c r="G95" s="362"/>
      <c r="H95" s="361">
        <f>'Sources and Uses Budget'!T95</f>
        <v>0</v>
      </c>
      <c r="I95" s="362"/>
      <c r="J95" s="362"/>
      <c r="K95" s="359"/>
    </row>
    <row r="96" spans="1:11" s="360" customFormat="1">
      <c r="A96" s="365" t="s">
        <v>775</v>
      </c>
      <c r="B96" s="361">
        <f>'Sources and Uses Budget'!C96</f>
        <v>3402770</v>
      </c>
      <c r="C96" s="361">
        <f>SUM(C83:C95)</f>
        <v>3402770</v>
      </c>
      <c r="D96" s="361">
        <f>SUM(D83:D95)</f>
        <v>0</v>
      </c>
      <c r="E96" s="361">
        <f>'Sources and Uses Budget'!S96</f>
        <v>3211346</v>
      </c>
      <c r="F96" s="367">
        <f>SUM(F84:F87,F89:F95)</f>
        <v>3211346</v>
      </c>
      <c r="G96" s="367">
        <f>SUM(G84:G87,G89:G95)</f>
        <v>0</v>
      </c>
      <c r="H96" s="361">
        <f>'Sources and Uses Budget'!T96</f>
        <v>0</v>
      </c>
      <c r="I96" s="361">
        <f>SUM(I84:I87,I89:I95)</f>
        <v>0</v>
      </c>
      <c r="J96" s="361">
        <f>SUM(J84:J87,J89:J95)</f>
        <v>0</v>
      </c>
      <c r="K96" s="359"/>
    </row>
    <row r="97" spans="1:11" s="360" customFormat="1">
      <c r="A97" s="365" t="s">
        <v>1030</v>
      </c>
      <c r="B97" s="361">
        <f>'Sources and Uses Budget'!C97</f>
        <v>34717755</v>
      </c>
      <c r="C97" s="361">
        <f>SUM(C63+C70+C77+C81+C96)</f>
        <v>34717755</v>
      </c>
      <c r="D97" s="361">
        <f>SUM(D63+D70+D77+D81+D96)</f>
        <v>0</v>
      </c>
      <c r="E97" s="361">
        <f>'Sources and Uses Budget'!S97</f>
        <v>32286611</v>
      </c>
      <c r="F97" s="367">
        <f>SUM(+F63+F70+F81+F96)</f>
        <v>32286611</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3670441</v>
      </c>
      <c r="C99" s="362">
        <f>+B99</f>
        <v>3670441</v>
      </c>
      <c r="D99" s="362"/>
      <c r="E99" s="361">
        <f>'Sources and Uses Budget'!S99</f>
        <v>3670441</v>
      </c>
      <c r="F99" s="362">
        <f>+E99</f>
        <v>3670441</v>
      </c>
      <c r="G99" s="362"/>
      <c r="H99" s="361">
        <f>'Sources and Uses Budget'!T99</f>
        <v>0</v>
      </c>
      <c r="I99" s="362"/>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3670441</v>
      </c>
      <c r="C104" s="361">
        <f>SUM(C99:C103)</f>
        <v>3670441</v>
      </c>
      <c r="D104" s="361">
        <f>SUM(D99:D103)</f>
        <v>0</v>
      </c>
      <c r="E104" s="361">
        <f>'Sources and Uses Budget'!S104</f>
        <v>3670441</v>
      </c>
      <c r="F104" s="367">
        <f>SUM(F99:F103)</f>
        <v>3670441</v>
      </c>
      <c r="G104" s="367">
        <f>SUM(G99:G103)</f>
        <v>0</v>
      </c>
      <c r="H104" s="361">
        <f>'Sources and Uses Budget'!T104</f>
        <v>0</v>
      </c>
      <c r="I104" s="367">
        <f>SUM(I99:I103)</f>
        <v>0</v>
      </c>
      <c r="J104" s="367">
        <f>SUM(J99:J103)</f>
        <v>0</v>
      </c>
      <c r="K104" s="359"/>
    </row>
    <row r="105" spans="1:11" s="360" customFormat="1">
      <c r="A105" s="365" t="s">
        <v>1031</v>
      </c>
      <c r="B105" s="361">
        <f>'Sources and Uses Budget'!C105</f>
        <v>38388196</v>
      </c>
      <c r="C105" s="367">
        <f>SUM(C97+C104)</f>
        <v>38388196</v>
      </c>
      <c r="D105" s="367">
        <f>SUM(D97+D104)</f>
        <v>0</v>
      </c>
      <c r="E105" s="361">
        <f>'Sources and Uses Budget'!S105</f>
        <v>35957052</v>
      </c>
      <c r="F105" s="367">
        <f>F97+F104</f>
        <v>35957052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35957052</v>
      </c>
      <c r="F107" s="367">
        <f>F105+F106</f>
        <v>35957052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86"/>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99" t="s">
        <v>2457</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c r="AR1" s="1900"/>
      <c r="AS1" s="1900"/>
      <c r="AT1" s="1900"/>
      <c r="AU1" s="1900"/>
      <c r="AV1" s="1900"/>
      <c r="AW1" s="1900"/>
      <c r="AX1" s="1900"/>
      <c r="AY1" s="1900"/>
      <c r="AZ1" s="1900"/>
      <c r="BA1" s="1900"/>
      <c r="BB1" s="1900"/>
      <c r="BC1" s="1900"/>
      <c r="BD1" s="1900"/>
      <c r="BE1" s="1901"/>
    </row>
    <row r="2" spans="1:65" ht="15.75" customHeight="1">
      <c r="A2" s="1902" t="s">
        <v>2456</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c r="AR2" s="1903"/>
      <c r="AS2" s="1903"/>
      <c r="AT2" s="1903"/>
      <c r="AU2" s="1903"/>
      <c r="AV2" s="1903"/>
      <c r="AW2" s="1903"/>
      <c r="AX2" s="1903"/>
      <c r="AY2" s="1903"/>
      <c r="AZ2" s="1903"/>
      <c r="BA2" s="1903"/>
      <c r="BB2" s="1903"/>
      <c r="BC2" s="1903"/>
      <c r="BD2" s="1903"/>
      <c r="BE2" s="190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91" t="str">
        <f>IF(Application!H18="","",Application!H18)</f>
        <v>EaRTH Center</v>
      </c>
      <c r="M4" s="1892"/>
      <c r="N4" s="1892"/>
      <c r="O4" s="1892"/>
      <c r="P4" s="1892"/>
      <c r="Q4" s="1892"/>
      <c r="R4" s="1892"/>
      <c r="S4" s="1892"/>
      <c r="T4" s="1892"/>
      <c r="U4" s="1892"/>
      <c r="V4" s="1892"/>
      <c r="W4" s="1892"/>
      <c r="X4" s="1892"/>
      <c r="Y4" s="1892"/>
      <c r="Z4" s="1892"/>
      <c r="AA4" s="1892"/>
      <c r="AB4" s="1892"/>
      <c r="AC4" s="1893"/>
      <c r="AD4" s="1190"/>
      <c r="AE4" s="1190"/>
      <c r="AF4" s="1905" t="s">
        <v>2455</v>
      </c>
      <c r="AG4" s="1905"/>
      <c r="AH4" s="1905"/>
      <c r="AI4" s="1905"/>
      <c r="AJ4" s="1905"/>
      <c r="AK4" s="1905"/>
      <c r="AL4" s="1905"/>
      <c r="AM4" s="1905"/>
      <c r="AN4" s="1905"/>
      <c r="AO4" s="1905"/>
      <c r="AP4" s="1906"/>
      <c r="AQ4" s="1907"/>
      <c r="AR4" s="1907"/>
      <c r="AS4" s="1907"/>
      <c r="AT4" s="1907"/>
      <c r="AU4" s="19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05" t="s">
        <v>2454</v>
      </c>
      <c r="AG5" s="1905"/>
      <c r="AH5" s="1905"/>
      <c r="AI5" s="1905"/>
      <c r="AJ5" s="1905"/>
      <c r="AK5" s="1905"/>
      <c r="AL5" s="1905"/>
      <c r="AM5" s="1905"/>
      <c r="AN5" s="1905"/>
      <c r="AO5" s="1905"/>
      <c r="AP5" s="1906"/>
      <c r="AQ5" s="1907"/>
      <c r="AR5" s="1907"/>
      <c r="AS5" s="1907"/>
      <c r="AT5" s="1907"/>
      <c r="AU5" s="190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91" t="str">
        <f>IF(Application!H16="","",Application!H16)</f>
        <v xml:space="preserve">Community Revitalization and Development Corporation </v>
      </c>
      <c r="M6" s="1892"/>
      <c r="N6" s="1892"/>
      <c r="O6" s="1892"/>
      <c r="P6" s="1892"/>
      <c r="Q6" s="1892"/>
      <c r="R6" s="1892"/>
      <c r="S6" s="1892"/>
      <c r="T6" s="1892"/>
      <c r="U6" s="1892"/>
      <c r="V6" s="1892"/>
      <c r="W6" s="1892"/>
      <c r="X6" s="1892"/>
      <c r="Y6" s="1892"/>
      <c r="Z6" s="1892"/>
      <c r="AA6" s="1892"/>
      <c r="AB6" s="1892"/>
      <c r="AC6" s="1893"/>
      <c r="AD6" s="1190"/>
      <c r="AE6" s="1190"/>
      <c r="AF6" s="1894" t="s">
        <v>2452</v>
      </c>
      <c r="AG6" s="1894"/>
      <c r="AH6" s="1894"/>
      <c r="AI6" s="1894"/>
      <c r="AJ6" s="1894"/>
      <c r="AK6" s="1894"/>
      <c r="AL6" s="1894"/>
      <c r="AM6" s="1894"/>
      <c r="AN6" s="1894"/>
      <c r="AO6" s="1894"/>
      <c r="AP6" s="1895"/>
      <c r="AQ6" s="1895"/>
      <c r="AR6" s="1895"/>
      <c r="AS6" s="1895"/>
      <c r="AT6" s="1895"/>
      <c r="AU6" s="189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94" t="s">
        <v>2451</v>
      </c>
      <c r="AG7" s="1894"/>
      <c r="AH7" s="1894"/>
      <c r="AI7" s="1894"/>
      <c r="AJ7" s="1894"/>
      <c r="AK7" s="1894"/>
      <c r="AL7" s="1894"/>
      <c r="AM7" s="1894"/>
      <c r="AN7" s="1894"/>
      <c r="AO7" s="1894"/>
      <c r="AP7" s="1895"/>
      <c r="AQ7" s="1895"/>
      <c r="AR7" s="1895"/>
      <c r="AS7" s="1895"/>
      <c r="AT7" s="1895"/>
      <c r="AU7" s="1895"/>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6" t="str">
        <f>Application!T197</f>
        <v>No</v>
      </c>
      <c r="AC8" s="1897"/>
      <c r="AD8" s="1898"/>
      <c r="AE8" s="1190"/>
      <c r="AF8" s="1894" t="s">
        <v>2449</v>
      </c>
      <c r="AG8" s="1894"/>
      <c r="AH8" s="1894"/>
      <c r="AI8" s="1894"/>
      <c r="AJ8" s="1894"/>
      <c r="AK8" s="1894"/>
      <c r="AL8" s="1894"/>
      <c r="AM8" s="1894"/>
      <c r="AN8" s="1894"/>
      <c r="AO8" s="1894"/>
      <c r="AP8" s="1895" t="s">
        <v>2099</v>
      </c>
      <c r="AQ8" s="1895"/>
      <c r="AR8" s="1895"/>
      <c r="AS8" s="1895"/>
      <c r="AT8" s="1895"/>
      <c r="AU8" s="1895"/>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05" t="s">
        <v>2448</v>
      </c>
      <c r="AG9" s="1905"/>
      <c r="AH9" s="1905"/>
      <c r="AI9" s="1905"/>
      <c r="AJ9" s="1905"/>
      <c r="AK9" s="1905"/>
      <c r="AL9" s="1905"/>
      <c r="AM9" s="1905"/>
      <c r="AN9" s="1905"/>
      <c r="AO9" s="1905"/>
      <c r="AP9" s="1906"/>
      <c r="AQ9" s="1907"/>
      <c r="AR9" s="1907"/>
      <c r="AS9" s="1907"/>
      <c r="AT9" s="1907"/>
      <c r="AU9" s="1907"/>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20">
        <f>Application!AO627</f>
        <v>3364493</v>
      </c>
      <c r="O10" s="1920"/>
      <c r="P10" s="1920"/>
      <c r="Q10" s="1920"/>
      <c r="R10" s="1920"/>
      <c r="S10" s="1920"/>
      <c r="T10" s="1920"/>
      <c r="U10" s="1190"/>
      <c r="V10" s="1190"/>
      <c r="W10" s="1190"/>
      <c r="X10" s="1193"/>
      <c r="Y10" s="1193"/>
      <c r="Z10" s="1193"/>
      <c r="AA10" s="1193"/>
      <c r="AB10" s="1193"/>
      <c r="AC10" s="1193"/>
      <c r="AD10" s="1193"/>
      <c r="AE10" s="1193"/>
      <c r="AF10" s="1905" t="s">
        <v>2445</v>
      </c>
      <c r="AG10" s="1905"/>
      <c r="AH10" s="1905"/>
      <c r="AI10" s="1905"/>
      <c r="AJ10" s="1905"/>
      <c r="AK10" s="1905"/>
      <c r="AL10" s="1905"/>
      <c r="AM10" s="1905"/>
      <c r="AN10" s="1905"/>
      <c r="AO10" s="1905"/>
      <c r="AP10" s="1906"/>
      <c r="AQ10" s="1907"/>
      <c r="AR10" s="1907"/>
      <c r="AS10" s="1907"/>
      <c r="AT10" s="1907"/>
      <c r="AU10" s="1907"/>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20">
        <f>Application!AA934</f>
        <v>0</v>
      </c>
      <c r="O11" s="1920"/>
      <c r="P11" s="1920"/>
      <c r="Q11" s="1920"/>
      <c r="R11" s="1920"/>
      <c r="S11" s="1920"/>
      <c r="T11" s="1920"/>
      <c r="U11" s="1190"/>
      <c r="V11" s="1190"/>
      <c r="W11" s="1190"/>
      <c r="X11" s="1193"/>
      <c r="Y11" s="1193"/>
      <c r="Z11" s="1193"/>
      <c r="AA11" s="1193"/>
      <c r="AB11" s="1193"/>
      <c r="AC11" s="1193"/>
      <c r="AD11" s="1193"/>
      <c r="AE11" s="1193"/>
      <c r="AF11" s="1905" t="s">
        <v>2442</v>
      </c>
      <c r="AG11" s="1905"/>
      <c r="AH11" s="1905"/>
      <c r="AI11" s="1905"/>
      <c r="AJ11" s="1905"/>
      <c r="AK11" s="1905"/>
      <c r="AL11" s="1905"/>
      <c r="AM11" s="1905"/>
      <c r="AN11" s="1905"/>
      <c r="AO11" s="1905"/>
      <c r="AP11" s="1906"/>
      <c r="AQ11" s="1907"/>
      <c r="AR11" s="1907"/>
      <c r="AS11" s="1907"/>
      <c r="AT11" s="1907"/>
      <c r="AU11" s="1907"/>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908" t="s">
        <v>2440</v>
      </c>
      <c r="C13" s="1909"/>
      <c r="D13" s="1909"/>
      <c r="E13" s="1909"/>
      <c r="F13" s="1909"/>
      <c r="G13" s="1909"/>
      <c r="H13" s="1909"/>
      <c r="I13" s="1909"/>
      <c r="J13" s="1909"/>
      <c r="K13" s="1909"/>
      <c r="L13" s="1909"/>
      <c r="M13" s="1909"/>
      <c r="N13" s="1909"/>
      <c r="O13" s="1909"/>
      <c r="P13" s="1910"/>
      <c r="Q13" s="1911" t="s">
        <v>670</v>
      </c>
      <c r="R13" s="1912"/>
      <c r="S13" s="1912"/>
      <c r="T13" s="1913"/>
      <c r="U13" s="1193"/>
      <c r="V13" s="1190"/>
      <c r="W13" s="1190"/>
      <c r="X13" s="1190"/>
      <c r="Y13" s="1190"/>
      <c r="Z13" s="1190"/>
      <c r="AA13" s="1914" t="s">
        <v>2439</v>
      </c>
      <c r="AB13" s="1914"/>
      <c r="AC13" s="1914"/>
      <c r="AD13" s="1914"/>
      <c r="AE13" s="1914"/>
      <c r="AF13" s="1914"/>
      <c r="AG13" s="1914"/>
      <c r="AH13" s="1914"/>
      <c r="AI13" s="1914"/>
      <c r="AJ13" s="1914"/>
      <c r="AK13" s="1914"/>
      <c r="AL13" s="1914"/>
      <c r="AM13" s="1914"/>
      <c r="AN13" s="1914"/>
      <c r="AO13" s="1915">
        <f>Application!W473</f>
        <v>0</v>
      </c>
      <c r="AP13" s="1916"/>
      <c r="AQ13" s="1916"/>
      <c r="AR13" s="1916"/>
      <c r="AS13" s="1916"/>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7" t="s">
        <v>2437</v>
      </c>
      <c r="AB14" s="1917"/>
      <c r="AC14" s="1917"/>
      <c r="AD14" s="1917"/>
      <c r="AE14" s="1917"/>
      <c r="AF14" s="1917"/>
      <c r="AG14" s="1917"/>
      <c r="AH14" s="1917"/>
      <c r="AI14" s="1917"/>
      <c r="AJ14" s="1917"/>
      <c r="AK14" s="1917"/>
      <c r="AL14" s="1917"/>
      <c r="AM14" s="1917"/>
      <c r="AN14" s="1917"/>
      <c r="AO14" s="1918"/>
      <c r="AP14" s="1919"/>
      <c r="AQ14" s="1919"/>
      <c r="AR14" s="1919"/>
      <c r="AS14" s="1919"/>
      <c r="AT14" s="1193"/>
      <c r="AU14" s="1193"/>
      <c r="AV14" s="1193"/>
      <c r="AW14" s="1193"/>
      <c r="AX14" s="1193"/>
      <c r="AY14" s="1193"/>
      <c r="AZ14" s="1193"/>
      <c r="BA14" s="1193"/>
      <c r="BB14" s="1193"/>
      <c r="BC14" s="1193"/>
      <c r="BD14" s="1193"/>
      <c r="BE14" s="1194"/>
    </row>
    <row r="15" spans="1:65" ht="15" thickBot="1">
      <c r="A15" s="1190"/>
      <c r="B15" s="1921" t="s">
        <v>2436</v>
      </c>
      <c r="C15" s="1922"/>
      <c r="D15" s="1922"/>
      <c r="E15" s="1922"/>
      <c r="F15" s="1922"/>
      <c r="G15" s="1922"/>
      <c r="H15" s="1922"/>
      <c r="I15" s="1922"/>
      <c r="J15" s="1922"/>
      <c r="K15" s="1922"/>
      <c r="L15" s="1922"/>
      <c r="M15" s="1922"/>
      <c r="N15" s="1922"/>
      <c r="O15" s="1922"/>
      <c r="P15" s="1922"/>
      <c r="Q15" s="1922"/>
      <c r="R15" s="1923"/>
      <c r="S15" s="1924" t="str">
        <f>IF(Application!AB214="","",Application!AB214)</f>
        <v/>
      </c>
      <c r="T15" s="1924"/>
      <c r="U15" s="1924"/>
      <c r="V15" s="1924"/>
      <c r="W15" s="1925"/>
      <c r="X15" s="1193"/>
      <c r="Y15" s="1190"/>
      <c r="Z15" s="1190"/>
      <c r="AA15" s="1914" t="s">
        <v>2435</v>
      </c>
      <c r="AB15" s="1914"/>
      <c r="AC15" s="1914"/>
      <c r="AD15" s="1914"/>
      <c r="AE15" s="1914"/>
      <c r="AF15" s="1914"/>
      <c r="AG15" s="1914"/>
      <c r="AH15" s="1914"/>
      <c r="AI15" s="1914"/>
      <c r="AJ15" s="1914"/>
      <c r="AK15" s="1914"/>
      <c r="AL15" s="1914"/>
      <c r="AM15" s="1914"/>
      <c r="AN15" s="1914"/>
      <c r="AO15" s="1918"/>
      <c r="AP15" s="1919"/>
      <c r="AQ15" s="1919"/>
      <c r="AR15" s="1919"/>
      <c r="AS15" s="1919"/>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26" t="s">
        <v>2434</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190"/>
      <c r="BA17" s="1190"/>
      <c r="BB17" s="1190"/>
      <c r="BC17" s="1190"/>
      <c r="BD17" s="1190"/>
      <c r="BE17" s="1194"/>
      <c r="BF17" s="1188"/>
    </row>
    <row r="18" spans="1:58" ht="15.75" customHeight="1">
      <c r="A18" s="1190"/>
      <c r="B18" s="1929" t="s">
        <v>2433</v>
      </c>
      <c r="C18" s="1930"/>
      <c r="D18" s="1930"/>
      <c r="E18" s="1930"/>
      <c r="F18" s="1930"/>
      <c r="G18" s="1930"/>
      <c r="H18" s="1930"/>
      <c r="I18" s="1931"/>
      <c r="J18" s="1932" t="s">
        <v>1587</v>
      </c>
      <c r="K18" s="1933"/>
      <c r="L18" s="1933"/>
      <c r="M18" s="1933"/>
      <c r="N18" s="1933"/>
      <c r="O18" s="1934"/>
      <c r="P18" s="1932" t="s">
        <v>324</v>
      </c>
      <c r="Q18" s="1933"/>
      <c r="R18" s="1933"/>
      <c r="S18" s="1933"/>
      <c r="T18" s="1933"/>
      <c r="U18" s="1934"/>
      <c r="V18" s="1932" t="s">
        <v>325</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2432</v>
      </c>
      <c r="AU18" s="1933"/>
      <c r="AV18" s="1933"/>
      <c r="AW18" s="1933"/>
      <c r="AX18" s="1933"/>
      <c r="AY18" s="1935"/>
      <c r="AZ18" s="1190"/>
      <c r="BA18" s="1190"/>
      <c r="BB18" s="1190"/>
      <c r="BC18" s="1190"/>
      <c r="BD18" s="1190"/>
      <c r="BE18" s="1194"/>
    </row>
    <row r="19" spans="1:58" ht="14.4">
      <c r="A19" s="1190"/>
      <c r="B19" s="1936">
        <v>0.3</v>
      </c>
      <c r="C19" s="1937"/>
      <c r="D19" s="1937"/>
      <c r="E19" s="1937"/>
      <c r="F19" s="1937"/>
      <c r="G19" s="1937"/>
      <c r="H19" s="1937"/>
      <c r="I19" s="1938"/>
      <c r="J19" s="1939">
        <f t="shared" ref="J19:J24" si="0">SUM(P19:AS19)</f>
        <v>5</v>
      </c>
      <c r="K19" s="1940"/>
      <c r="L19" s="1940"/>
      <c r="M19" s="1940"/>
      <c r="N19" s="1940"/>
      <c r="O19" s="1941"/>
      <c r="P19" s="1939" cm="1">
        <f t="array" ref="P19">SUMPRODUCT((Application!$B$718:$B$752 = 'CalHFA Addendum'!P$18)*(Application!$AC$718:$AC$752 = 'CalHFA Addendum'!$B19),Application!$G$718:$G$752)</f>
        <v>1</v>
      </c>
      <c r="Q19" s="1940"/>
      <c r="R19" s="1940"/>
      <c r="S19" s="1940"/>
      <c r="T19" s="1940"/>
      <c r="U19" s="1941"/>
      <c r="V19" s="1939" cm="1">
        <f t="array" ref="V19">SUMPRODUCT((Application!$B$714:$B$738 = 'CalHFA Addendum'!V$18)*(Application!$AC$714:$AC$738 = 'CalHFA Addendum'!$B19),Application!$G$714:$G$738)</f>
        <v>2</v>
      </c>
      <c r="W19" s="1940"/>
      <c r="X19" s="1940"/>
      <c r="Y19" s="1940"/>
      <c r="Z19" s="1940"/>
      <c r="AA19" s="1941"/>
      <c r="AB19" s="1939" cm="1">
        <f t="array" ref="AB19">SUMPRODUCT((Application!$B$714:$B$738 = 'CalHFA Addendum'!AB$18)*(Application!$AC$714:$AC$738 = 'CalHFA Addendum'!$B19),Application!$G$714:$G$738)</f>
        <v>1</v>
      </c>
      <c r="AC19" s="1940"/>
      <c r="AD19" s="1940"/>
      <c r="AE19" s="1940"/>
      <c r="AF19" s="1940"/>
      <c r="AG19" s="1941"/>
      <c r="AH19" s="1939" cm="1">
        <f t="array" ref="AH19">SUMPRODUCT((Application!$B$714:$B$738 = 'CalHFA Addendum'!AH$18)*(Application!$AC$714:$AC$738 = 'CalHFA Addendum'!$B19),Application!$G$714:$G$738)</f>
        <v>1</v>
      </c>
      <c r="AI19" s="1940"/>
      <c r="AJ19" s="1940"/>
      <c r="AK19" s="1940"/>
      <c r="AL19" s="1940"/>
      <c r="AM19" s="1941"/>
      <c r="AN19" s="1939" cm="1">
        <f t="array" ref="AN19">SUMPRODUCT((Application!$B$714:$B$738 = 'CalHFA Addendum'!AN$18)*(Application!$AC$714:$AC$738 = 'CalHFA Addendum'!$B19),Application!$G$714:$G$738)</f>
        <v>0</v>
      </c>
      <c r="AO19" s="1940"/>
      <c r="AP19" s="1940"/>
      <c r="AQ19" s="1940"/>
      <c r="AR19" s="1940"/>
      <c r="AS19" s="1941"/>
      <c r="AT19" s="1942">
        <f t="shared" ref="AT19:AT29" si="1">J19/$J$29</f>
        <v>0.10869565217391304</v>
      </c>
      <c r="AU19" s="1943"/>
      <c r="AV19" s="1943"/>
      <c r="AW19" s="1943"/>
      <c r="AX19" s="1943"/>
      <c r="AY19" s="1944"/>
      <c r="AZ19" s="1195"/>
      <c r="BA19" s="1190"/>
      <c r="BB19" s="1190"/>
      <c r="BC19" s="1190"/>
      <c r="BD19" s="1190"/>
      <c r="BE19" s="1194"/>
    </row>
    <row r="20" spans="1:58" ht="15" customHeight="1">
      <c r="A20" s="1190"/>
      <c r="B20" s="1936">
        <v>0.4</v>
      </c>
      <c r="C20" s="1937"/>
      <c r="D20" s="1937"/>
      <c r="E20" s="1937"/>
      <c r="F20" s="1937"/>
      <c r="G20" s="1937"/>
      <c r="H20" s="1937"/>
      <c r="I20" s="1938"/>
      <c r="J20" s="1939">
        <f t="shared" si="0"/>
        <v>0</v>
      </c>
      <c r="K20" s="1940"/>
      <c r="L20" s="1940"/>
      <c r="M20" s="1940"/>
      <c r="N20" s="1940"/>
      <c r="O20" s="1941"/>
      <c r="P20" s="1939" cm="1">
        <f t="array" ref="P20">SUMPRODUCT((Application!$B$718:$B$752 = 'CalHFA Addendum'!P$18)*(Application!$AC$718:$AC$752 = 'CalHFA Addendum'!$B20),Application!$G$718:$G$752)</f>
        <v>0</v>
      </c>
      <c r="Q20" s="1940"/>
      <c r="R20" s="1940"/>
      <c r="S20" s="1940"/>
      <c r="T20" s="1940"/>
      <c r="U20" s="1941"/>
      <c r="V20" s="1939" cm="1">
        <f t="array" ref="V20">SUMPRODUCT((Application!$B$714:$B$738 = 'CalHFA Addendum'!V$18)*(Application!$AC$714:$AC$738 = 'CalHFA Addendum'!$B20),Application!$G$714:$G$738)</f>
        <v>0</v>
      </c>
      <c r="W20" s="1940"/>
      <c r="X20" s="1940"/>
      <c r="Y20" s="1940"/>
      <c r="Z20" s="1940"/>
      <c r="AA20" s="1941"/>
      <c r="AB20" s="1939" cm="1">
        <f t="array" ref="AB20">SUMPRODUCT((Application!$B$714:$B$738 = 'CalHFA Addendum'!AB$18)*(Application!$AC$714:$AC$738 = 'CalHFA Addendum'!$B20),Application!$G$714:$G$738)</f>
        <v>0</v>
      </c>
      <c r="AC20" s="1940"/>
      <c r="AD20" s="1940"/>
      <c r="AE20" s="1940"/>
      <c r="AF20" s="1940"/>
      <c r="AG20" s="1941"/>
      <c r="AH20" s="1939" cm="1">
        <f t="array" ref="AH20">SUMPRODUCT((Application!$B$714:$B$738 = 'CalHFA Addendum'!AH$18)*(Application!$AC$714:$AC$738 = 'CalHFA Addendum'!$B20),Application!$G$714:$G$738)</f>
        <v>0</v>
      </c>
      <c r="AI20" s="1940"/>
      <c r="AJ20" s="1940"/>
      <c r="AK20" s="1940"/>
      <c r="AL20" s="1940"/>
      <c r="AM20" s="1941"/>
      <c r="AN20" s="1939" cm="1">
        <f t="array" ref="AN20">SUMPRODUCT((Application!$B$714:$B$738 = 'CalHFA Addendum'!AN$18)*(Application!$AC$714:$AC$738 = 'CalHFA Addendum'!$B20),Application!$G$714:$G$738)</f>
        <v>0</v>
      </c>
      <c r="AO20" s="1940"/>
      <c r="AP20" s="1940"/>
      <c r="AQ20" s="1940"/>
      <c r="AR20" s="1940"/>
      <c r="AS20" s="1941"/>
      <c r="AT20" s="1942">
        <f t="shared" si="1"/>
        <v>0</v>
      </c>
      <c r="AU20" s="1943"/>
      <c r="AV20" s="1943"/>
      <c r="AW20" s="1943"/>
      <c r="AX20" s="1943"/>
      <c r="AY20" s="1944"/>
      <c r="AZ20" s="1190"/>
      <c r="BA20" s="1190"/>
      <c r="BB20" s="1190"/>
      <c r="BC20" s="1190"/>
      <c r="BD20" s="1190"/>
      <c r="BE20" s="1194"/>
    </row>
    <row r="21" spans="1:58" ht="14.4">
      <c r="A21" s="1190"/>
      <c r="B21" s="1936">
        <v>0.5</v>
      </c>
      <c r="C21" s="1937"/>
      <c r="D21" s="1937"/>
      <c r="E21" s="1937"/>
      <c r="F21" s="1937"/>
      <c r="G21" s="1937"/>
      <c r="H21" s="1937"/>
      <c r="I21" s="1938"/>
      <c r="J21" s="1939">
        <f t="shared" si="0"/>
        <v>12</v>
      </c>
      <c r="K21" s="1940"/>
      <c r="L21" s="1940"/>
      <c r="M21" s="1940"/>
      <c r="N21" s="1940"/>
      <c r="O21" s="1941"/>
      <c r="P21" s="1939" cm="1">
        <f t="array" ref="P21">SUMPRODUCT((Application!$B$714:$B$738 = 'CalHFA Addendum'!P$18)*(Application!$AC$714:$AC$738 = 'CalHFA Addendum'!$B21),Application!$G$714:$G$738)</f>
        <v>2</v>
      </c>
      <c r="Q21" s="1940"/>
      <c r="R21" s="1940"/>
      <c r="S21" s="1940"/>
      <c r="T21" s="1940"/>
      <c r="U21" s="1941"/>
      <c r="V21" s="1939" cm="1">
        <f t="array" ref="V21">SUMPRODUCT((Application!$B$714:$B$738 = 'CalHFA Addendum'!V$18)*(Application!$AC$714:$AC$738 = 'CalHFA Addendum'!$B21),Application!$G$714:$G$738)</f>
        <v>5</v>
      </c>
      <c r="W21" s="1940"/>
      <c r="X21" s="1940"/>
      <c r="Y21" s="1940"/>
      <c r="Z21" s="1940"/>
      <c r="AA21" s="1941"/>
      <c r="AB21" s="1939" cm="1">
        <f t="array" ref="AB21">SUMPRODUCT((Application!$B$714:$B$738 = 'CalHFA Addendum'!AB$18)*(Application!$AC$714:$AC$738 = 'CalHFA Addendum'!$B21),Application!$G$714:$G$738)</f>
        <v>3</v>
      </c>
      <c r="AC21" s="1940"/>
      <c r="AD21" s="1940"/>
      <c r="AE21" s="1940"/>
      <c r="AF21" s="1940"/>
      <c r="AG21" s="1941"/>
      <c r="AH21" s="1939" cm="1">
        <f t="array" ref="AH21">SUMPRODUCT((Application!$B$714:$B$738 = 'CalHFA Addendum'!AH$18)*(Application!$AC$714:$AC$738 = 'CalHFA Addendum'!$B21),Application!$G$714:$G$738)</f>
        <v>2</v>
      </c>
      <c r="AI21" s="1940"/>
      <c r="AJ21" s="1940"/>
      <c r="AK21" s="1940"/>
      <c r="AL21" s="1940"/>
      <c r="AM21" s="1941"/>
      <c r="AN21" s="1939" cm="1">
        <f t="array" ref="AN21">SUMPRODUCT((Application!$B$714:$B$738 = 'CalHFA Addendum'!AN$18)*(Application!$AC$714:$AC$738 = 'CalHFA Addendum'!$B21),Application!$G$714:$G$738)</f>
        <v>0</v>
      </c>
      <c r="AO21" s="1940"/>
      <c r="AP21" s="1940"/>
      <c r="AQ21" s="1940"/>
      <c r="AR21" s="1940"/>
      <c r="AS21" s="1941"/>
      <c r="AT21" s="1942">
        <f t="shared" si="1"/>
        <v>0.2608695652173913</v>
      </c>
      <c r="AU21" s="1943"/>
      <c r="AV21" s="1943"/>
      <c r="AW21" s="1943"/>
      <c r="AX21" s="1943"/>
      <c r="AY21" s="1944"/>
      <c r="AZ21" s="1190"/>
      <c r="BA21" s="1190"/>
      <c r="BB21" s="1190"/>
      <c r="BC21" s="1190"/>
      <c r="BD21" s="1190"/>
      <c r="BE21" s="1194"/>
    </row>
    <row r="22" spans="1:58" ht="14.4">
      <c r="A22" s="1190"/>
      <c r="B22" s="1936">
        <v>0.6</v>
      </c>
      <c r="C22" s="1937"/>
      <c r="D22" s="1937"/>
      <c r="E22" s="1937"/>
      <c r="F22" s="1937"/>
      <c r="G22" s="1937"/>
      <c r="H22" s="1937"/>
      <c r="I22" s="1938"/>
      <c r="J22" s="1939">
        <f t="shared" si="0"/>
        <v>2</v>
      </c>
      <c r="K22" s="1940"/>
      <c r="L22" s="1940"/>
      <c r="M22" s="1940"/>
      <c r="N22" s="1940"/>
      <c r="O22" s="1941"/>
      <c r="P22" s="1939" cm="1">
        <f t="array" ref="P22">SUMPRODUCT((Application!$B$714:$B$738 = 'CalHFA Addendum'!P$18)*(Application!$AC$714:$AC$738 = 'CalHFA Addendum'!$B22),Application!$G$714:$G$738)</f>
        <v>0</v>
      </c>
      <c r="Q22" s="1940"/>
      <c r="R22" s="1940"/>
      <c r="S22" s="1940"/>
      <c r="T22" s="1940"/>
      <c r="U22" s="1941"/>
      <c r="V22" s="1939" cm="1">
        <f t="array" ref="V22">SUMPRODUCT((Application!$B$714:$B$738 = 'CalHFA Addendum'!V$18)*(Application!$AC$714:$AC$738 = 'CalHFA Addendum'!$B22),Application!$G$714:$G$738)</f>
        <v>2</v>
      </c>
      <c r="W22" s="1940"/>
      <c r="X22" s="1940"/>
      <c r="Y22" s="1940"/>
      <c r="Z22" s="1940"/>
      <c r="AA22" s="1941"/>
      <c r="AB22" s="1939" cm="1">
        <f t="array" ref="AB22">SUMPRODUCT((Application!$B$714:$B$738 = 'CalHFA Addendum'!AB$18)*(Application!$AC$714:$AC$738 = 'CalHFA Addendum'!$B22),Application!$G$714:$G$738)</f>
        <v>0</v>
      </c>
      <c r="AC22" s="1940"/>
      <c r="AD22" s="1940"/>
      <c r="AE22" s="1940"/>
      <c r="AF22" s="1940"/>
      <c r="AG22" s="1941"/>
      <c r="AH22" s="1939" cm="1">
        <f t="array" ref="AH22">SUMPRODUCT((Application!$B$714:$B$738 = 'CalHFA Addendum'!AH$18)*(Application!$AC$714:$AC$738 = 'CalHFA Addendum'!$B22),Application!$G$714:$G$738)</f>
        <v>0</v>
      </c>
      <c r="AI22" s="1940"/>
      <c r="AJ22" s="1940"/>
      <c r="AK22" s="1940"/>
      <c r="AL22" s="1940"/>
      <c r="AM22" s="1941"/>
      <c r="AN22" s="1939" cm="1">
        <f t="array" ref="AN22">SUMPRODUCT((Application!$B$714:$B$738 = 'CalHFA Addendum'!AN$18)*(Application!$AC$714:$AC$738 = 'CalHFA Addendum'!$B22),Application!$G$714:$G$738)</f>
        <v>0</v>
      </c>
      <c r="AO22" s="1940"/>
      <c r="AP22" s="1940"/>
      <c r="AQ22" s="1940"/>
      <c r="AR22" s="1940"/>
      <c r="AS22" s="1941"/>
      <c r="AT22" s="1942">
        <f t="shared" si="1"/>
        <v>4.3478260869565216E-2</v>
      </c>
      <c r="AU22" s="1943"/>
      <c r="AV22" s="1943"/>
      <c r="AW22" s="1943"/>
      <c r="AX22" s="1943"/>
      <c r="AY22" s="1944"/>
      <c r="AZ22" s="1190"/>
      <c r="BA22" s="1190"/>
      <c r="BB22" s="1190"/>
      <c r="BC22" s="1190"/>
      <c r="BD22" s="1190"/>
      <c r="BE22" s="1194"/>
    </row>
    <row r="23" spans="1:58" ht="14.4">
      <c r="A23" s="1190"/>
      <c r="B23" s="1936">
        <v>0.7</v>
      </c>
      <c r="C23" s="1937"/>
      <c r="D23" s="1937"/>
      <c r="E23" s="1937"/>
      <c r="F23" s="1937"/>
      <c r="G23" s="1937"/>
      <c r="H23" s="1937"/>
      <c r="I23" s="1938"/>
      <c r="J23" s="1939">
        <f t="shared" si="0"/>
        <v>26</v>
      </c>
      <c r="K23" s="1940"/>
      <c r="L23" s="1940"/>
      <c r="M23" s="1940"/>
      <c r="N23" s="1940"/>
      <c r="O23" s="1941"/>
      <c r="P23" s="1939" cm="1">
        <f t="array" ref="P23">SUMPRODUCT((Application!$B$714:$B$738 = 'CalHFA Addendum'!P$18)*(Application!$AC$714:$AC$738 = 'CalHFA Addendum'!$B23),Application!$G$714:$G$738)</f>
        <v>0</v>
      </c>
      <c r="Q23" s="1940"/>
      <c r="R23" s="1940"/>
      <c r="S23" s="1940"/>
      <c r="T23" s="1940"/>
      <c r="U23" s="1941"/>
      <c r="V23" s="1939" cm="1">
        <f t="array" ref="V23">SUMPRODUCT((Application!$B$714:$B$738 = 'CalHFA Addendum'!V$18)*(Application!$AC$714:$AC$738 = 'CalHFA Addendum'!$B23),Application!$G$714:$G$738)</f>
        <v>9</v>
      </c>
      <c r="W23" s="1940"/>
      <c r="X23" s="1940"/>
      <c r="Y23" s="1940"/>
      <c r="Z23" s="1940"/>
      <c r="AA23" s="1941"/>
      <c r="AB23" s="1939" cm="1">
        <f t="array" ref="AB23">SUMPRODUCT((Application!$B$714:$B$738 = 'CalHFA Addendum'!AB$18)*(Application!$AC$714:$AC$738 = 'CalHFA Addendum'!$B23),Application!$G$714:$G$738)</f>
        <v>8</v>
      </c>
      <c r="AC23" s="1940"/>
      <c r="AD23" s="1940"/>
      <c r="AE23" s="1940"/>
      <c r="AF23" s="1940"/>
      <c r="AG23" s="1941"/>
      <c r="AH23" s="1939" cm="1">
        <f t="array" ref="AH23">SUMPRODUCT((Application!$B$714:$B$738 = 'CalHFA Addendum'!AH$18)*(Application!$AC$714:$AC$738 = 'CalHFA Addendum'!$B23),Application!$G$714:$G$738)</f>
        <v>9</v>
      </c>
      <c r="AI23" s="1940"/>
      <c r="AJ23" s="1940"/>
      <c r="AK23" s="1940"/>
      <c r="AL23" s="1940"/>
      <c r="AM23" s="1941"/>
      <c r="AN23" s="1939" cm="1">
        <f t="array" ref="AN23">SUMPRODUCT((Application!$B$714:$B$738 = 'CalHFA Addendum'!AN$18)*(Application!$AC$714:$AC$738 = 'CalHFA Addendum'!$B23),Application!$G$714:$G$738)</f>
        <v>0</v>
      </c>
      <c r="AO23" s="1940"/>
      <c r="AP23" s="1940"/>
      <c r="AQ23" s="1940"/>
      <c r="AR23" s="1940"/>
      <c r="AS23" s="1941"/>
      <c r="AT23" s="1942">
        <f t="shared" si="1"/>
        <v>0.56521739130434778</v>
      </c>
      <c r="AU23" s="1943"/>
      <c r="AV23" s="1943"/>
      <c r="AW23" s="1943"/>
      <c r="AX23" s="1943"/>
      <c r="AY23" s="1944"/>
      <c r="AZ23" s="1190"/>
      <c r="BA23" s="1190"/>
      <c r="BB23" s="1190"/>
      <c r="BC23" s="1190"/>
      <c r="BD23" s="1190"/>
      <c r="BE23" s="1194"/>
    </row>
    <row r="24" spans="1:58" ht="14.4">
      <c r="A24" s="1190"/>
      <c r="B24" s="1936">
        <v>0.8</v>
      </c>
      <c r="C24" s="1937"/>
      <c r="D24" s="1937"/>
      <c r="E24" s="1937"/>
      <c r="F24" s="1937"/>
      <c r="G24" s="1937"/>
      <c r="H24" s="1937"/>
      <c r="I24" s="1938"/>
      <c r="J24" s="1939">
        <f t="shared" si="0"/>
        <v>0</v>
      </c>
      <c r="K24" s="1940"/>
      <c r="L24" s="1940"/>
      <c r="M24" s="1940"/>
      <c r="N24" s="1940"/>
      <c r="O24" s="1941"/>
      <c r="P24" s="1939" cm="1">
        <f t="array" ref="P24">SUMPRODUCT((Application!$B$714:$B$738 = 'CalHFA Addendum'!P$18)*(Application!$AC$714:$AC$738 = 'CalHFA Addendum'!$B24),Application!$G$714:$G$738)</f>
        <v>0</v>
      </c>
      <c r="Q24" s="1940"/>
      <c r="R24" s="1940"/>
      <c r="S24" s="1940"/>
      <c r="T24" s="1940"/>
      <c r="U24" s="1941"/>
      <c r="V24" s="1939" cm="1">
        <f t="array" ref="V24">SUMPRODUCT((Application!$B$714:$B$738 = 'CalHFA Addendum'!V$18)*(Application!$AC$714:$AC$738 = 'CalHFA Addendum'!$B24),Application!$G$714:$G$738)</f>
        <v>0</v>
      </c>
      <c r="W24" s="1940"/>
      <c r="X24" s="1940"/>
      <c r="Y24" s="1940"/>
      <c r="Z24" s="1940"/>
      <c r="AA24" s="1941"/>
      <c r="AB24" s="1939" cm="1">
        <f t="array" ref="AB24">SUMPRODUCT((Application!$B$714:$B$738 = 'CalHFA Addendum'!AB$18)*(Application!$AC$714:$AC$738 = 'CalHFA Addendum'!$B24),Application!$G$714:$G$738)</f>
        <v>0</v>
      </c>
      <c r="AC24" s="1940"/>
      <c r="AD24" s="1940"/>
      <c r="AE24" s="1940"/>
      <c r="AF24" s="1940"/>
      <c r="AG24" s="1941"/>
      <c r="AH24" s="1939" cm="1">
        <f t="array" ref="AH24">SUMPRODUCT((Application!$B$714:$B$738 = 'CalHFA Addendum'!AH$18)*(Application!$AC$714:$AC$738 = 'CalHFA Addendum'!$B24),Application!$G$714:$G$738)</f>
        <v>0</v>
      </c>
      <c r="AI24" s="1940"/>
      <c r="AJ24" s="1940"/>
      <c r="AK24" s="1940"/>
      <c r="AL24" s="1940"/>
      <c r="AM24" s="1941"/>
      <c r="AN24" s="1939" cm="1">
        <f t="array" ref="AN24">SUMPRODUCT((Application!$B$714:$B$738 = 'CalHFA Addendum'!AN$18)*(Application!$AC$714:$AC$738 = 'CalHFA Addendum'!$B24),Application!$G$714:$G$738)</f>
        <v>0</v>
      </c>
      <c r="AO24" s="1940"/>
      <c r="AP24" s="1940"/>
      <c r="AQ24" s="1940"/>
      <c r="AR24" s="1940"/>
      <c r="AS24" s="1941"/>
      <c r="AT24" s="1942">
        <f t="shared" si="1"/>
        <v>0</v>
      </c>
      <c r="AU24" s="1943"/>
      <c r="AV24" s="1943"/>
      <c r="AW24" s="1943"/>
      <c r="AX24" s="1943"/>
      <c r="AY24" s="1944"/>
      <c r="AZ24" s="1190"/>
      <c r="BA24" s="1190"/>
      <c r="BB24" s="1190"/>
      <c r="BC24" s="1190"/>
      <c r="BD24" s="1190"/>
      <c r="BE24" s="1194"/>
    </row>
    <row r="25" spans="1:58" ht="14.4">
      <c r="A25" s="1190"/>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190"/>
      <c r="BA25" s="1190"/>
      <c r="BB25" s="1190"/>
      <c r="BC25" s="1190"/>
      <c r="BD25" s="1190"/>
      <c r="BE25" s="1194"/>
    </row>
    <row r="26" spans="1:58" ht="14.4">
      <c r="A26" s="1190"/>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190"/>
      <c r="BA26" s="1190"/>
      <c r="BB26" s="1190"/>
      <c r="BC26" s="1190"/>
      <c r="BD26" s="1190"/>
      <c r="BE26" s="1194"/>
    </row>
    <row r="27" spans="1:58" ht="14.4">
      <c r="A27" s="1190"/>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190"/>
      <c r="BA27" s="1190"/>
      <c r="BB27" s="1190"/>
      <c r="BC27" s="1190"/>
      <c r="BD27" s="1190"/>
      <c r="BE27" s="1194"/>
    </row>
    <row r="28" spans="1:58" ht="15" thickBot="1">
      <c r="A28" s="1190"/>
      <c r="B28" s="1948" t="s">
        <v>2431</v>
      </c>
      <c r="C28" s="1949"/>
      <c r="D28" s="1949"/>
      <c r="E28" s="1949"/>
      <c r="F28" s="1949"/>
      <c r="G28" s="1949"/>
      <c r="H28" s="1949"/>
      <c r="I28" s="1950"/>
      <c r="J28" s="1951">
        <f>SUM(P28:AS28)</f>
        <v>1</v>
      </c>
      <c r="K28" s="1952"/>
      <c r="L28" s="1952"/>
      <c r="M28" s="1952"/>
      <c r="N28" s="1952"/>
      <c r="O28" s="1953"/>
      <c r="P28" s="1951">
        <f>_xlfn.IFNA(VLOOKUP(P$18,Application!$J$773:$S$776,6,FALSE), 0)</f>
        <v>0</v>
      </c>
      <c r="Q28" s="1952"/>
      <c r="R28" s="1952"/>
      <c r="S28" s="1952"/>
      <c r="T28" s="1952"/>
      <c r="U28" s="1953"/>
      <c r="V28" s="1951">
        <f>_xlfn.IFNA(VLOOKUP(V$18,Application!$J$773:$S$776,6,FALSE), 0)</f>
        <v>0</v>
      </c>
      <c r="W28" s="1952"/>
      <c r="X28" s="1952"/>
      <c r="Y28" s="1952"/>
      <c r="Z28" s="1952"/>
      <c r="AA28" s="1953"/>
      <c r="AB28" s="1951">
        <f>_xlfn.IFNA(VLOOKUP(AB$18,Application!$J$773:$S$776,6,FALSE), 0)</f>
        <v>1</v>
      </c>
      <c r="AC28" s="1952"/>
      <c r="AD28" s="1952"/>
      <c r="AE28" s="1952"/>
      <c r="AF28" s="1952"/>
      <c r="AG28" s="1953"/>
      <c r="AH28" s="1951">
        <f>_xlfn.IFNA(VLOOKUP(AH$18,Application!$J$773:$S$776,6,FALSE), 0)</f>
        <v>0</v>
      </c>
      <c r="AI28" s="1952"/>
      <c r="AJ28" s="1952"/>
      <c r="AK28" s="1952"/>
      <c r="AL28" s="1952"/>
      <c r="AM28" s="1953"/>
      <c r="AN28" s="1951">
        <f>_xlfn.IFNA(VLOOKUP(AN$18,Application!$J$773:$S$776,6,FALSE), 0)</f>
        <v>0</v>
      </c>
      <c r="AO28" s="1952"/>
      <c r="AP28" s="1952"/>
      <c r="AQ28" s="1952"/>
      <c r="AR28" s="1952"/>
      <c r="AS28" s="1953"/>
      <c r="AT28" s="1954">
        <f t="shared" si="1"/>
        <v>2.1739130434782608E-2</v>
      </c>
      <c r="AU28" s="1955"/>
      <c r="AV28" s="1955"/>
      <c r="AW28" s="1955"/>
      <c r="AX28" s="1955"/>
      <c r="AY28" s="1956"/>
      <c r="AZ28" s="1190"/>
      <c r="BA28" s="1190"/>
      <c r="BB28" s="1190"/>
      <c r="BC28" s="1190"/>
      <c r="BD28" s="1190"/>
      <c r="BE28" s="1194"/>
    </row>
    <row r="29" spans="1:58" ht="15" thickBot="1">
      <c r="A29" s="1190"/>
      <c r="B29" s="1985" t="s">
        <v>1587</v>
      </c>
      <c r="C29" s="1958"/>
      <c r="D29" s="1958"/>
      <c r="E29" s="1958"/>
      <c r="F29" s="1958"/>
      <c r="G29" s="1958"/>
      <c r="H29" s="1958"/>
      <c r="I29" s="1959"/>
      <c r="J29" s="1957">
        <f>SUM(J19:O28)</f>
        <v>46</v>
      </c>
      <c r="K29" s="1958"/>
      <c r="L29" s="1958"/>
      <c r="M29" s="1958"/>
      <c r="N29" s="1958"/>
      <c r="O29" s="1959"/>
      <c r="P29" s="1957">
        <f>SUM(P19:U28)</f>
        <v>3</v>
      </c>
      <c r="Q29" s="1958"/>
      <c r="R29" s="1958"/>
      <c r="S29" s="1958"/>
      <c r="T29" s="1958"/>
      <c r="U29" s="1959"/>
      <c r="V29" s="1957">
        <f>SUM(V19:AA28)</f>
        <v>18</v>
      </c>
      <c r="W29" s="1958"/>
      <c r="X29" s="1958"/>
      <c r="Y29" s="1958"/>
      <c r="Z29" s="1958"/>
      <c r="AA29" s="1959"/>
      <c r="AB29" s="1957">
        <f>SUM(AB19:AG28)</f>
        <v>13</v>
      </c>
      <c r="AC29" s="1958"/>
      <c r="AD29" s="1958"/>
      <c r="AE29" s="1958"/>
      <c r="AF29" s="1958"/>
      <c r="AG29" s="1959"/>
      <c r="AH29" s="1957">
        <f>SUM(AH19:AM28)</f>
        <v>12</v>
      </c>
      <c r="AI29" s="1958"/>
      <c r="AJ29" s="1958"/>
      <c r="AK29" s="1958"/>
      <c r="AL29" s="1958"/>
      <c r="AM29" s="1959"/>
      <c r="AN29" s="1957">
        <f>SUM(AN19:AS28)</f>
        <v>0</v>
      </c>
      <c r="AO29" s="1958"/>
      <c r="AP29" s="1958"/>
      <c r="AQ29" s="1958"/>
      <c r="AR29" s="1958"/>
      <c r="AS29" s="1959"/>
      <c r="AT29" s="1960">
        <f t="shared" si="1"/>
        <v>1</v>
      </c>
      <c r="AU29" s="1961"/>
      <c r="AV29" s="1961"/>
      <c r="AW29" s="1961"/>
      <c r="AX29" s="1961"/>
      <c r="AY29" s="196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63" t="s">
        <v>2430</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194"/>
    </row>
    <row r="32" spans="1:58" ht="15" thickBot="1">
      <c r="A32" s="1190"/>
      <c r="B32" s="1966" t="s">
        <v>2429</v>
      </c>
      <c r="C32" s="1967"/>
      <c r="D32" s="1967"/>
      <c r="E32" s="1967"/>
      <c r="F32" s="1967"/>
      <c r="G32" s="1967"/>
      <c r="H32" s="1967"/>
      <c r="I32" s="1967"/>
      <c r="J32" s="1970" t="s">
        <v>2428</v>
      </c>
      <c r="K32" s="1971"/>
      <c r="L32" s="1971"/>
      <c r="M32" s="1971"/>
      <c r="N32" s="1970" t="s">
        <v>2427</v>
      </c>
      <c r="O32" s="1971"/>
      <c r="P32" s="1971"/>
      <c r="Q32" s="1973"/>
      <c r="R32" s="1975" t="s">
        <v>2426</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194"/>
    </row>
    <row r="33" spans="1:58" ht="15" customHeight="1">
      <c r="A33" s="1190"/>
      <c r="B33" s="1968"/>
      <c r="C33" s="1969"/>
      <c r="D33" s="1969"/>
      <c r="E33" s="1969"/>
      <c r="F33" s="1969"/>
      <c r="G33" s="1969"/>
      <c r="H33" s="1969"/>
      <c r="I33" s="1969"/>
      <c r="J33" s="1972"/>
      <c r="K33" s="1972"/>
      <c r="L33" s="1972"/>
      <c r="M33" s="1972"/>
      <c r="N33" s="1972"/>
      <c r="O33" s="1972"/>
      <c r="P33" s="1972"/>
      <c r="Q33" s="1974"/>
      <c r="R33" s="1978" t="s">
        <v>2425</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194"/>
    </row>
    <row r="34" spans="1:58" ht="15.75" customHeight="1" thickBot="1">
      <c r="A34" s="1190"/>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194"/>
    </row>
    <row r="35" spans="1:58" ht="15.75" customHeight="1">
      <c r="A35" s="1190"/>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2424</v>
      </c>
      <c r="AT35" s="1987"/>
      <c r="AU35" s="1987"/>
      <c r="AV35" s="1987"/>
      <c r="AW35" s="1987"/>
      <c r="AX35" s="1995"/>
      <c r="AY35" s="1986" t="s">
        <v>2423</v>
      </c>
      <c r="AZ35" s="1987"/>
      <c r="BA35" s="1987"/>
      <c r="BB35" s="1987"/>
      <c r="BC35" s="1987"/>
      <c r="BD35" s="1988"/>
      <c r="BE35" s="1194"/>
    </row>
    <row r="36" spans="1:58" ht="15.75" customHeight="1">
      <c r="A36" s="1190"/>
      <c r="B36" s="2005" t="s">
        <v>2422</v>
      </c>
      <c r="C36" s="2006"/>
      <c r="D36" s="2006"/>
      <c r="E36" s="2006"/>
      <c r="F36" s="2006"/>
      <c r="G36" s="2006"/>
      <c r="H36" s="2006"/>
      <c r="I36" s="2006"/>
      <c r="J36" s="2007" t="s">
        <v>2421</v>
      </c>
      <c r="K36" s="2007"/>
      <c r="L36" s="2007"/>
      <c r="M36" s="2007"/>
      <c r="N36" s="2007">
        <v>55</v>
      </c>
      <c r="O36" s="2007"/>
      <c r="P36" s="2007"/>
      <c r="Q36" s="2007"/>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1996"/>
      <c r="AM36" s="1997"/>
      <c r="AN36" s="1997"/>
      <c r="AO36" s="1998"/>
      <c r="AP36" s="1996"/>
      <c r="AQ36" s="1997"/>
      <c r="AR36" s="1998"/>
      <c r="AS36" s="1999">
        <f t="shared" ref="AS36:AS47" si="2">SUM(R36:AR36)</f>
        <v>0</v>
      </c>
      <c r="AT36" s="2000"/>
      <c r="AU36" s="2000"/>
      <c r="AV36" s="2000"/>
      <c r="AW36" s="2000"/>
      <c r="AX36" s="2001"/>
      <c r="AY36" s="2002">
        <f t="shared" ref="AY36:AY47" si="3">AS36/$J$29</f>
        <v>0</v>
      </c>
      <c r="AZ36" s="2003"/>
      <c r="BA36" s="2003"/>
      <c r="BB36" s="2003"/>
      <c r="BC36" s="2003"/>
      <c r="BD36" s="2004"/>
      <c r="BE36" s="1194"/>
    </row>
    <row r="37" spans="1:58" ht="15.75" customHeight="1">
      <c r="A37" s="1190"/>
      <c r="B37" s="2005" t="s">
        <v>2420</v>
      </c>
      <c r="C37" s="2006"/>
      <c r="D37" s="2006"/>
      <c r="E37" s="2006"/>
      <c r="F37" s="2006"/>
      <c r="G37" s="2006"/>
      <c r="H37" s="2006"/>
      <c r="I37" s="2006"/>
      <c r="J37" s="2007" t="s">
        <v>2419</v>
      </c>
      <c r="K37" s="2007"/>
      <c r="L37" s="2007"/>
      <c r="M37" s="2007"/>
      <c r="N37" s="2007">
        <v>55</v>
      </c>
      <c r="O37" s="2007"/>
      <c r="P37" s="2007"/>
      <c r="Q37" s="2007"/>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1996"/>
      <c r="AM37" s="1997"/>
      <c r="AN37" s="1997"/>
      <c r="AO37" s="1998"/>
      <c r="AP37" s="1996"/>
      <c r="AQ37" s="1997"/>
      <c r="AR37" s="1998"/>
      <c r="AS37" s="1999">
        <f t="shared" si="2"/>
        <v>0</v>
      </c>
      <c r="AT37" s="2000"/>
      <c r="AU37" s="2000"/>
      <c r="AV37" s="2000"/>
      <c r="AW37" s="2000"/>
      <c r="AX37" s="2001"/>
      <c r="AY37" s="2002">
        <f t="shared" si="3"/>
        <v>0</v>
      </c>
      <c r="AZ37" s="2003"/>
      <c r="BA37" s="2003"/>
      <c r="BB37" s="2003"/>
      <c r="BC37" s="2003"/>
      <c r="BD37" s="2004"/>
      <c r="BE37" s="1194"/>
    </row>
    <row r="38" spans="1:58" ht="15.75" customHeight="1">
      <c r="A38" s="1190"/>
      <c r="B38" s="2005" t="s">
        <v>2418</v>
      </c>
      <c r="C38" s="2006"/>
      <c r="D38" s="2006"/>
      <c r="E38" s="2006"/>
      <c r="F38" s="2006"/>
      <c r="G38" s="2006"/>
      <c r="H38" s="2006"/>
      <c r="I38" s="2006"/>
      <c r="J38" s="2007" t="s">
        <v>2417</v>
      </c>
      <c r="K38" s="2007"/>
      <c r="L38" s="2007"/>
      <c r="M38" s="2007"/>
      <c r="N38" s="2007">
        <v>55</v>
      </c>
      <c r="O38" s="2007"/>
      <c r="P38" s="2007"/>
      <c r="Q38" s="2007"/>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1996"/>
      <c r="AM38" s="1997"/>
      <c r="AN38" s="1997"/>
      <c r="AO38" s="1998"/>
      <c r="AP38" s="1996"/>
      <c r="AQ38" s="1997"/>
      <c r="AR38" s="1998"/>
      <c r="AS38" s="1999">
        <f t="shared" si="2"/>
        <v>0</v>
      </c>
      <c r="AT38" s="2000"/>
      <c r="AU38" s="2000"/>
      <c r="AV38" s="2000"/>
      <c r="AW38" s="2000"/>
      <c r="AX38" s="2001"/>
      <c r="AY38" s="2002">
        <f t="shared" si="3"/>
        <v>0</v>
      </c>
      <c r="AZ38" s="2003"/>
      <c r="BA38" s="2003"/>
      <c r="BB38" s="2003"/>
      <c r="BC38" s="2003"/>
      <c r="BD38" s="2004"/>
      <c r="BE38" s="1194"/>
    </row>
    <row r="39" spans="1:58" ht="15.75" customHeight="1">
      <c r="A39" s="1190"/>
      <c r="B39" s="2005" t="s">
        <v>2416</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194"/>
    </row>
    <row r="40" spans="1:58" ht="15.75" customHeight="1">
      <c r="A40" s="1190"/>
      <c r="B40" s="2005" t="s">
        <v>2416</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194"/>
    </row>
    <row r="41" spans="1:58" ht="15.75" customHeight="1">
      <c r="A41" s="1190"/>
      <c r="B41" s="2005" t="s">
        <v>2415</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194"/>
    </row>
    <row r="42" spans="1:58" ht="15.75" customHeight="1">
      <c r="A42" s="1190"/>
      <c r="B42" s="2005" t="s">
        <v>2415</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194"/>
    </row>
    <row r="43" spans="1:58" ht="15.75" customHeight="1">
      <c r="A43" s="1190"/>
      <c r="B43" s="2009" t="s">
        <v>2414</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194"/>
    </row>
    <row r="44" spans="1:58" ht="15.75" customHeight="1">
      <c r="A44" s="1190"/>
      <c r="B44" s="2009" t="s">
        <v>2413</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194"/>
    </row>
    <row r="45" spans="1:58" ht="15.75" customHeight="1">
      <c r="A45" s="1190"/>
      <c r="B45" s="2009" t="s">
        <v>2412</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194"/>
    </row>
    <row r="46" spans="1:58" ht="15.75" customHeight="1">
      <c r="A46" s="1190"/>
      <c r="B46" s="2009" t="s">
        <v>2336</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194"/>
    </row>
    <row r="47" spans="1:58" ht="15.75" customHeight="1" thickBot="1">
      <c r="A47" s="1190"/>
      <c r="B47" s="2011" t="s">
        <v>300</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21" t="s">
        <v>2409</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24" t="s">
        <v>2402</v>
      </c>
      <c r="C51" s="2025"/>
      <c r="D51" s="2025"/>
      <c r="E51" s="2025"/>
      <c r="F51" s="2025"/>
      <c r="G51" s="2025"/>
      <c r="H51" s="2025"/>
      <c r="I51" s="2025"/>
      <c r="J51" s="2025" t="s">
        <v>2408</v>
      </c>
      <c r="K51" s="2025"/>
      <c r="L51" s="2025"/>
      <c r="M51" s="2025"/>
      <c r="N51" s="2025"/>
      <c r="O51" s="2025"/>
      <c r="P51" s="2025"/>
      <c r="Q51" s="2025"/>
      <c r="R51" s="2026" t="s">
        <v>2407</v>
      </c>
      <c r="S51" s="2026"/>
      <c r="T51" s="2026"/>
      <c r="U51" s="2026"/>
      <c r="V51" s="2026"/>
      <c r="W51" s="2026"/>
      <c r="X51" s="2026"/>
      <c r="Y51" s="2026"/>
      <c r="Z51" s="2026" t="s">
        <v>2406</v>
      </c>
      <c r="AA51" s="2026"/>
      <c r="AB51" s="2026"/>
      <c r="AC51" s="2026"/>
      <c r="AD51" s="2026"/>
      <c r="AE51" s="2026"/>
      <c r="AF51" s="2026"/>
      <c r="AG51" s="2026"/>
      <c r="AH51" s="2026" t="s">
        <v>2405</v>
      </c>
      <c r="AI51" s="2026"/>
      <c r="AJ51" s="2026"/>
      <c r="AK51" s="2026"/>
      <c r="AL51" s="2026"/>
      <c r="AM51" s="2026"/>
      <c r="AN51" s="2026"/>
      <c r="AO51" s="202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9" t="s">
        <v>2404</v>
      </c>
      <c r="C52" s="2010"/>
      <c r="D52" s="2010"/>
      <c r="E52" s="2010"/>
      <c r="F52" s="2010"/>
      <c r="G52" s="2010"/>
      <c r="H52" s="2010"/>
      <c r="I52" s="2010"/>
      <c r="J52" s="2028">
        <v>0</v>
      </c>
      <c r="K52" s="2028"/>
      <c r="L52" s="2028"/>
      <c r="M52" s="2028"/>
      <c r="N52" s="2028"/>
      <c r="O52" s="2028"/>
      <c r="P52" s="2028"/>
      <c r="Q52" s="2028"/>
      <c r="R52" s="2029">
        <v>0</v>
      </c>
      <c r="S52" s="2029"/>
      <c r="T52" s="2029"/>
      <c r="U52" s="2029"/>
      <c r="V52" s="2029"/>
      <c r="W52" s="2029"/>
      <c r="X52" s="2029"/>
      <c r="Y52" s="2029"/>
      <c r="Z52" s="2030">
        <v>0</v>
      </c>
      <c r="AA52" s="2030"/>
      <c r="AB52" s="2030"/>
      <c r="AC52" s="2030"/>
      <c r="AD52" s="2030"/>
      <c r="AE52" s="2030"/>
      <c r="AF52" s="2030"/>
      <c r="AG52" s="2030"/>
      <c r="AH52" s="2031"/>
      <c r="AI52" s="2031"/>
      <c r="AJ52" s="2031"/>
      <c r="AK52" s="2031"/>
      <c r="AL52" s="2031"/>
      <c r="AM52" s="2031"/>
      <c r="AN52" s="2031"/>
      <c r="AO52" s="203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9" t="s">
        <v>2403</v>
      </c>
      <c r="C53" s="2010"/>
      <c r="D53" s="2010"/>
      <c r="E53" s="2010"/>
      <c r="F53" s="2010"/>
      <c r="G53" s="2010"/>
      <c r="H53" s="2010"/>
      <c r="I53" s="2010"/>
      <c r="J53" s="2028">
        <v>0</v>
      </c>
      <c r="K53" s="2028"/>
      <c r="L53" s="2028"/>
      <c r="M53" s="2028"/>
      <c r="N53" s="2028"/>
      <c r="O53" s="2028"/>
      <c r="P53" s="2028"/>
      <c r="Q53" s="2028"/>
      <c r="R53" s="2029">
        <v>0</v>
      </c>
      <c r="S53" s="2029"/>
      <c r="T53" s="2029"/>
      <c r="U53" s="2029"/>
      <c r="V53" s="2029"/>
      <c r="W53" s="2029"/>
      <c r="X53" s="2029"/>
      <c r="Y53" s="2029"/>
      <c r="Z53" s="2030">
        <v>0</v>
      </c>
      <c r="AA53" s="2030"/>
      <c r="AB53" s="2030"/>
      <c r="AC53" s="2030"/>
      <c r="AD53" s="2030"/>
      <c r="AE53" s="2030"/>
      <c r="AF53" s="2030"/>
      <c r="AG53" s="2030"/>
      <c r="AH53" s="2031"/>
      <c r="AI53" s="2031"/>
      <c r="AJ53" s="2031"/>
      <c r="AK53" s="2031"/>
      <c r="AL53" s="2031"/>
      <c r="AM53" s="2031"/>
      <c r="AN53" s="2031"/>
      <c r="AO53" s="203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42" t="s">
        <v>1587</v>
      </c>
      <c r="C57" s="2043"/>
      <c r="D57" s="2043"/>
      <c r="E57" s="2043"/>
      <c r="F57" s="2043"/>
      <c r="G57" s="2043"/>
      <c r="H57" s="2043"/>
      <c r="I57" s="2043"/>
      <c r="J57" s="2043"/>
      <c r="K57" s="2043"/>
      <c r="L57" s="2043"/>
      <c r="M57" s="2043"/>
      <c r="N57" s="2043"/>
      <c r="O57" s="2043"/>
      <c r="P57" s="2043"/>
      <c r="Q57" s="2043"/>
      <c r="R57" s="2044">
        <f>SUM(R52:Y56)</f>
        <v>0</v>
      </c>
      <c r="S57" s="2044"/>
      <c r="T57" s="2044"/>
      <c r="U57" s="2044"/>
      <c r="V57" s="2044"/>
      <c r="W57" s="2044"/>
      <c r="X57" s="2044"/>
      <c r="Y57" s="2044"/>
      <c r="Z57" s="2045">
        <f>SUM(Z52:AG56)</f>
        <v>0</v>
      </c>
      <c r="AA57" s="2045"/>
      <c r="AB57" s="2045"/>
      <c r="AC57" s="2045"/>
      <c r="AD57" s="2045"/>
      <c r="AE57" s="2045"/>
      <c r="AF57" s="2045"/>
      <c r="AG57" s="2045"/>
      <c r="AH57" s="2046"/>
      <c r="AI57" s="2046"/>
      <c r="AJ57" s="2046"/>
      <c r="AK57" s="2046"/>
      <c r="AL57" s="2046"/>
      <c r="AM57" s="2046"/>
      <c r="AN57" s="2046"/>
      <c r="AO57" s="204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33" t="s">
        <v>2402</v>
      </c>
      <c r="C59" s="2034"/>
      <c r="D59" s="2034"/>
      <c r="E59" s="2034"/>
      <c r="F59" s="2034"/>
      <c r="G59" s="2034"/>
      <c r="H59" s="2034"/>
      <c r="I59" s="2035"/>
      <c r="J59" s="1927" t="s">
        <v>2401</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190"/>
      <c r="AY59" s="1190"/>
      <c r="AZ59" s="1190"/>
      <c r="BA59" s="1190"/>
      <c r="BB59" s="1190"/>
      <c r="BC59" s="1190"/>
      <c r="BD59" s="1190"/>
      <c r="BE59" s="1194"/>
    </row>
    <row r="60" spans="1:77" ht="15.75" customHeight="1">
      <c r="A60" s="1190"/>
      <c r="B60" s="2036" t="str">
        <f>IF(B52="", "", B52)</f>
        <v>Services Company 1</v>
      </c>
      <c r="C60" s="2037"/>
      <c r="D60" s="2037"/>
      <c r="E60" s="2037"/>
      <c r="F60" s="2037"/>
      <c r="G60" s="2037"/>
      <c r="H60" s="2037"/>
      <c r="I60" s="2038"/>
      <c r="J60" s="2039"/>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190"/>
      <c r="AY60" s="1190"/>
      <c r="AZ60" s="1190"/>
      <c r="BA60" s="1190"/>
      <c r="BB60" s="1190"/>
      <c r="BC60" s="1190"/>
      <c r="BD60" s="1190"/>
      <c r="BE60" s="1194"/>
    </row>
    <row r="61" spans="1:77" ht="15.75" customHeight="1">
      <c r="A61" s="1190"/>
      <c r="B61" s="2036" t="str">
        <f>IF(B53="", "", B53)</f>
        <v>Services Company 2</v>
      </c>
      <c r="C61" s="2037"/>
      <c r="D61" s="2037"/>
      <c r="E61" s="2037"/>
      <c r="F61" s="2037"/>
      <c r="G61" s="2037"/>
      <c r="H61" s="2037"/>
      <c r="I61" s="2038"/>
      <c r="J61" s="2039"/>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190"/>
      <c r="AY61" s="1190"/>
      <c r="AZ61" s="1190"/>
      <c r="BA61" s="1190"/>
      <c r="BB61" s="1190"/>
      <c r="BC61" s="1190"/>
      <c r="BD61" s="1190"/>
      <c r="BE61" s="1194"/>
    </row>
    <row r="62" spans="1:77" ht="15.75" customHeight="1">
      <c r="A62" s="1190"/>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190"/>
      <c r="AY62" s="1190"/>
      <c r="AZ62" s="1190"/>
      <c r="BA62" s="1190"/>
      <c r="BB62" s="1190"/>
      <c r="BC62" s="1190"/>
      <c r="BD62" s="1190"/>
      <c r="BE62" s="1194"/>
    </row>
    <row r="63" spans="1:77" ht="15.75" customHeight="1">
      <c r="A63" s="1190"/>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190"/>
      <c r="AY63" s="1190"/>
      <c r="AZ63" s="1190"/>
      <c r="BA63" s="1190"/>
      <c r="BB63" s="1190"/>
      <c r="BC63" s="1190"/>
      <c r="BD63" s="1190"/>
      <c r="BE63" s="1194"/>
    </row>
    <row r="64" spans="1:77" ht="15.75" customHeight="1" thickBot="1">
      <c r="A64" s="1190"/>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6" t="s">
        <v>2399</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190"/>
      <c r="AC68" s="2070" t="s">
        <v>2398</v>
      </c>
      <c r="AD68" s="2071"/>
      <c r="AE68" s="2071"/>
      <c r="AF68" s="2071"/>
      <c r="AG68" s="2071"/>
      <c r="AH68" s="2071"/>
      <c r="AI68" s="2071"/>
      <c r="AJ68" s="2071"/>
      <c r="AK68" s="2071"/>
      <c r="AL68" s="2071"/>
      <c r="AM68" s="2071"/>
      <c r="AN68" s="2071"/>
      <c r="AO68" s="2071"/>
      <c r="AP68" s="2071"/>
      <c r="AQ68" s="2071"/>
      <c r="AR68" s="2071"/>
      <c r="AS68" s="2071"/>
      <c r="AT68" s="2071"/>
      <c r="AU68" s="2071"/>
      <c r="AV68" s="2048" t="s">
        <v>670</v>
      </c>
      <c r="AW68" s="2049"/>
      <c r="AX68" s="2049"/>
      <c r="AY68" s="2049"/>
      <c r="AZ68" s="2049"/>
      <c r="BA68" s="2049"/>
      <c r="BB68" s="2049"/>
      <c r="BC68" s="2050"/>
      <c r="BD68" s="1190"/>
      <c r="BE68" s="1194"/>
      <c r="BM68" s="1199" t="s">
        <v>2397</v>
      </c>
    </row>
    <row r="69" spans="1:94" ht="15.75" customHeight="1" thickTop="1" thickBot="1">
      <c r="A69" s="1190"/>
      <c r="B69" s="2051" t="s">
        <v>2396</v>
      </c>
      <c r="C69" s="2052"/>
      <c r="D69" s="2052"/>
      <c r="E69" s="2052"/>
      <c r="F69" s="2052"/>
      <c r="G69" s="2052"/>
      <c r="H69" s="2052"/>
      <c r="I69" s="2052"/>
      <c r="J69" s="2052"/>
      <c r="K69" s="2052"/>
      <c r="L69" s="2052"/>
      <c r="M69" s="2052"/>
      <c r="N69" s="2052"/>
      <c r="O69" s="2053" t="s">
        <v>2395</v>
      </c>
      <c r="P69" s="2054"/>
      <c r="Q69" s="2054"/>
      <c r="R69" s="2054"/>
      <c r="S69" s="2054"/>
      <c r="T69" s="2054"/>
      <c r="U69" s="2054"/>
      <c r="V69" s="2054"/>
      <c r="W69" s="2054"/>
      <c r="X69" s="2054"/>
      <c r="Y69" s="2054"/>
      <c r="Z69" s="2054"/>
      <c r="AA69" s="2055"/>
      <c r="AB69" s="1190"/>
      <c r="AC69" s="2056" t="s">
        <v>2394</v>
      </c>
      <c r="AD69" s="2057"/>
      <c r="AE69" s="2057"/>
      <c r="AF69" s="2057"/>
      <c r="AG69" s="2057"/>
      <c r="AH69" s="2057"/>
      <c r="AI69" s="2057"/>
      <c r="AJ69" s="2057"/>
      <c r="AK69" s="2057"/>
      <c r="AL69" s="2057"/>
      <c r="AM69" s="2057"/>
      <c r="AN69" s="2057"/>
      <c r="AO69" s="2057"/>
      <c r="AP69" s="2057"/>
      <c r="AQ69" s="2057"/>
      <c r="AR69" s="2057"/>
      <c r="AS69" s="2057"/>
      <c r="AT69" s="2057"/>
      <c r="AU69" s="2057"/>
      <c r="AV69" s="2048" t="s">
        <v>670</v>
      </c>
      <c r="AW69" s="2049"/>
      <c r="AX69" s="2049"/>
      <c r="AY69" s="2049"/>
      <c r="AZ69" s="2049"/>
      <c r="BA69" s="2049"/>
      <c r="BB69" s="2049"/>
      <c r="BC69" s="2050"/>
      <c r="BD69" s="1190"/>
      <c r="BE69" s="1194"/>
      <c r="BM69" s="1200" t="s">
        <v>546</v>
      </c>
    </row>
    <row r="70" spans="1:94" ht="15.75" customHeight="1">
      <c r="A70" s="1190"/>
      <c r="B70" s="2005" t="s">
        <v>2393</v>
      </c>
      <c r="C70" s="2006"/>
      <c r="D70" s="2006"/>
      <c r="E70" s="2006"/>
      <c r="F70" s="2006"/>
      <c r="G70" s="2006"/>
      <c r="H70" s="2006"/>
      <c r="I70" s="2006"/>
      <c r="J70" s="2006"/>
      <c r="K70" s="2006"/>
      <c r="L70" s="2006"/>
      <c r="M70" s="2006"/>
      <c r="N70" s="2006"/>
      <c r="O70" s="2064">
        <v>0</v>
      </c>
      <c r="P70" s="2064"/>
      <c r="Q70" s="2064"/>
      <c r="R70" s="2064"/>
      <c r="S70" s="2064"/>
      <c r="T70" s="2064"/>
      <c r="U70" s="2064"/>
      <c r="V70" s="2064"/>
      <c r="W70" s="2064"/>
      <c r="X70" s="2064"/>
      <c r="Y70" s="2064"/>
      <c r="Z70" s="2064"/>
      <c r="AA70" s="2065"/>
      <c r="AB70" s="1190"/>
      <c r="AC70" s="2021" t="s">
        <v>2392</v>
      </c>
      <c r="AD70" s="2022"/>
      <c r="AE70" s="2022"/>
      <c r="AF70" s="2066"/>
      <c r="AG70" s="2066"/>
      <c r="AH70" s="2066"/>
      <c r="AI70" s="2066"/>
      <c r="AJ70" s="2066"/>
      <c r="AK70" s="2066"/>
      <c r="AL70" s="2066"/>
      <c r="AM70" s="2066"/>
      <c r="AN70" s="2066"/>
      <c r="AO70" s="2066"/>
      <c r="AP70" s="2066"/>
      <c r="AQ70" s="2066"/>
      <c r="AR70" s="2066"/>
      <c r="AS70" s="2066"/>
      <c r="AT70" s="2066"/>
      <c r="AU70" s="2067"/>
      <c r="AV70" s="1190"/>
      <c r="AW70" s="1190"/>
      <c r="AX70" s="1190"/>
      <c r="AY70" s="1190"/>
      <c r="AZ70" s="1190"/>
      <c r="BA70" s="1190"/>
      <c r="BB70" s="1190"/>
      <c r="BC70" s="1190"/>
      <c r="BD70" s="1190"/>
      <c r="BE70" s="1194"/>
      <c r="BM70" s="1201" t="s">
        <v>670</v>
      </c>
    </row>
    <row r="71" spans="1:94" ht="15.75" customHeight="1" thickBot="1">
      <c r="A71" s="1190"/>
      <c r="B71" s="2005" t="s">
        <v>2391</v>
      </c>
      <c r="C71" s="2006"/>
      <c r="D71" s="2006"/>
      <c r="E71" s="2006"/>
      <c r="F71" s="2006"/>
      <c r="G71" s="2006"/>
      <c r="H71" s="2006"/>
      <c r="I71" s="2006"/>
      <c r="J71" s="2006"/>
      <c r="K71" s="2006"/>
      <c r="L71" s="2006"/>
      <c r="M71" s="2006"/>
      <c r="N71" s="2006"/>
      <c r="O71" s="2064">
        <v>0</v>
      </c>
      <c r="P71" s="2064"/>
      <c r="Q71" s="2064"/>
      <c r="R71" s="2064"/>
      <c r="S71" s="2064"/>
      <c r="T71" s="2064"/>
      <c r="U71" s="2064"/>
      <c r="V71" s="2064"/>
      <c r="W71" s="2064"/>
      <c r="X71" s="2064"/>
      <c r="Y71" s="2064"/>
      <c r="Z71" s="2064"/>
      <c r="AA71" s="2065"/>
      <c r="AB71" s="1190"/>
      <c r="AC71" s="2068" t="s">
        <v>2390</v>
      </c>
      <c r="AD71" s="2069"/>
      <c r="AE71" s="2069"/>
      <c r="AF71" s="2062"/>
      <c r="AG71" s="2062"/>
      <c r="AH71" s="2062"/>
      <c r="AI71" s="2062"/>
      <c r="AJ71" s="2062"/>
      <c r="AK71" s="2062"/>
      <c r="AL71" s="2062"/>
      <c r="AM71" s="2062"/>
      <c r="AN71" s="2062"/>
      <c r="AO71" s="2062"/>
      <c r="AP71" s="2062"/>
      <c r="AQ71" s="2062"/>
      <c r="AR71" s="2062"/>
      <c r="AS71" s="2062"/>
      <c r="AT71" s="2062"/>
      <c r="AU71" s="2063"/>
      <c r="AV71" s="1190"/>
      <c r="AW71" s="1190"/>
      <c r="AX71" s="1190"/>
      <c r="AY71" s="1190"/>
      <c r="AZ71" s="1190"/>
      <c r="BA71" s="1190"/>
      <c r="BB71" s="1190"/>
      <c r="BC71" s="1190"/>
      <c r="BD71" s="1190"/>
      <c r="BE71" s="1194"/>
      <c r="BM71" s="1187" t="s">
        <v>2389</v>
      </c>
    </row>
    <row r="72" spans="1:94" ht="15.75" customHeight="1">
      <c r="A72" s="1190"/>
      <c r="B72" s="2005" t="s">
        <v>2388</v>
      </c>
      <c r="C72" s="2006"/>
      <c r="D72" s="2006"/>
      <c r="E72" s="2006"/>
      <c r="F72" s="2006"/>
      <c r="G72" s="2006"/>
      <c r="H72" s="2006"/>
      <c r="I72" s="2006"/>
      <c r="J72" s="2006"/>
      <c r="K72" s="2006"/>
      <c r="L72" s="2006"/>
      <c r="M72" s="2006"/>
      <c r="N72" s="2006"/>
      <c r="O72" s="2064">
        <v>0</v>
      </c>
      <c r="P72" s="2064"/>
      <c r="Q72" s="2064"/>
      <c r="R72" s="2064"/>
      <c r="S72" s="2064"/>
      <c r="T72" s="2064"/>
      <c r="U72" s="2064"/>
      <c r="V72" s="2064"/>
      <c r="W72" s="2064"/>
      <c r="X72" s="2064"/>
      <c r="Y72" s="2064"/>
      <c r="Z72" s="2064"/>
      <c r="AA72" s="2065"/>
      <c r="AB72" s="1190"/>
      <c r="AC72" s="2088" t="s">
        <v>2387</v>
      </c>
      <c r="AD72" s="2089"/>
      <c r="AE72" s="2089"/>
      <c r="AF72" s="2089"/>
      <c r="AG72" s="2089"/>
      <c r="AH72" s="2089"/>
      <c r="AI72" s="2089"/>
      <c r="AJ72" s="2089"/>
      <c r="AK72" s="2089"/>
      <c r="AL72" s="2089"/>
      <c r="AM72" s="2089"/>
      <c r="AN72" s="2089"/>
      <c r="AO72" s="2089"/>
      <c r="AP72" s="2089"/>
      <c r="AQ72" s="2089"/>
      <c r="AR72" s="2089"/>
      <c r="AS72" s="2089"/>
      <c r="AT72" s="2089"/>
      <c r="AU72" s="2089"/>
      <c r="AV72" s="2022"/>
      <c r="AW72" s="2022"/>
      <c r="AX72" s="2022"/>
      <c r="AY72" s="2022"/>
      <c r="AZ72" s="2022"/>
      <c r="BA72" s="2022"/>
      <c r="BB72" s="2022"/>
      <c r="BC72" s="2023"/>
      <c r="BD72" s="1190"/>
      <c r="BE72" s="1194"/>
    </row>
    <row r="73" spans="1:94" ht="15.75" customHeight="1">
      <c r="A73" s="1190"/>
      <c r="B73" s="2009" t="s">
        <v>2386</v>
      </c>
      <c r="C73" s="2010"/>
      <c r="D73" s="2010"/>
      <c r="E73" s="2010"/>
      <c r="F73" s="2010"/>
      <c r="G73" s="2010"/>
      <c r="H73" s="2010"/>
      <c r="I73" s="2010"/>
      <c r="J73" s="2010"/>
      <c r="K73" s="2010"/>
      <c r="L73" s="2010"/>
      <c r="M73" s="2010"/>
      <c r="N73" s="2010"/>
      <c r="O73" s="2064">
        <v>0</v>
      </c>
      <c r="P73" s="2064"/>
      <c r="Q73" s="2064"/>
      <c r="R73" s="2064"/>
      <c r="S73" s="2064"/>
      <c r="T73" s="2064"/>
      <c r="U73" s="2064"/>
      <c r="V73" s="2064"/>
      <c r="W73" s="2064"/>
      <c r="X73" s="2064"/>
      <c r="Y73" s="2064"/>
      <c r="Z73" s="2064"/>
      <c r="AA73" s="2065"/>
      <c r="AB73" s="1190"/>
      <c r="AC73" s="2090" t="s">
        <v>2331</v>
      </c>
      <c r="AD73" s="2091"/>
      <c r="AE73" s="2091"/>
      <c r="AF73" s="2091"/>
      <c r="AG73" s="2091"/>
      <c r="AH73" s="2091"/>
      <c r="AI73" s="2091"/>
      <c r="AJ73" s="2091"/>
      <c r="AK73" s="2091"/>
      <c r="AL73" s="2091"/>
      <c r="AM73" s="2091"/>
      <c r="AN73" s="2091"/>
      <c r="AO73" s="2091"/>
      <c r="AP73" s="2091"/>
      <c r="AQ73" s="2091"/>
      <c r="AR73" s="2091"/>
      <c r="AS73" s="2091"/>
      <c r="AT73" s="2091"/>
      <c r="AU73" s="2091"/>
      <c r="AV73" s="2091"/>
      <c r="AW73" s="2091"/>
      <c r="AX73" s="2091"/>
      <c r="AY73" s="2091"/>
      <c r="AZ73" s="2091"/>
      <c r="BA73" s="2091"/>
      <c r="BB73" s="2091"/>
      <c r="BC73" s="2092"/>
      <c r="BD73" s="1190"/>
      <c r="BE73" s="1194"/>
      <c r="CK73" s="1188"/>
      <c r="CL73" s="1188"/>
      <c r="CM73" s="1188"/>
      <c r="CN73" s="1188"/>
      <c r="CO73" s="1188"/>
      <c r="CP73" s="1188"/>
    </row>
    <row r="74" spans="1:94" ht="15.75" customHeight="1">
      <c r="A74" s="1190"/>
      <c r="B74" s="2096"/>
      <c r="C74" s="2028"/>
      <c r="D74" s="2028"/>
      <c r="E74" s="2028"/>
      <c r="F74" s="2028"/>
      <c r="G74" s="2028"/>
      <c r="H74" s="2028"/>
      <c r="I74" s="2028"/>
      <c r="J74" s="2028"/>
      <c r="K74" s="2028"/>
      <c r="L74" s="2028"/>
      <c r="M74" s="2028"/>
      <c r="N74" s="2028"/>
      <c r="O74" s="2064"/>
      <c r="P74" s="2064"/>
      <c r="Q74" s="2064"/>
      <c r="R74" s="2064"/>
      <c r="S74" s="2064"/>
      <c r="T74" s="2064"/>
      <c r="U74" s="2064"/>
      <c r="V74" s="2064"/>
      <c r="W74" s="2064"/>
      <c r="X74" s="2064"/>
      <c r="Y74" s="2064"/>
      <c r="Z74" s="2064"/>
      <c r="AA74" s="2065"/>
      <c r="AB74" s="1190"/>
      <c r="AC74" s="2090"/>
      <c r="AD74" s="2091"/>
      <c r="AE74" s="2091"/>
      <c r="AF74" s="2091"/>
      <c r="AG74" s="2091"/>
      <c r="AH74" s="2091"/>
      <c r="AI74" s="2091"/>
      <c r="AJ74" s="2091"/>
      <c r="AK74" s="2091"/>
      <c r="AL74" s="2091"/>
      <c r="AM74" s="2091"/>
      <c r="AN74" s="2091"/>
      <c r="AO74" s="2091"/>
      <c r="AP74" s="2091"/>
      <c r="AQ74" s="2091"/>
      <c r="AR74" s="2091"/>
      <c r="AS74" s="2091"/>
      <c r="AT74" s="2091"/>
      <c r="AU74" s="2091"/>
      <c r="AV74" s="2091"/>
      <c r="AW74" s="2091"/>
      <c r="AX74" s="2091"/>
      <c r="AY74" s="2091"/>
      <c r="AZ74" s="2091"/>
      <c r="BA74" s="2091"/>
      <c r="BB74" s="2091"/>
      <c r="BC74" s="2092"/>
      <c r="BD74" s="1190"/>
      <c r="BE74" s="1194"/>
      <c r="CK74" s="1188"/>
      <c r="CL74" s="1188"/>
      <c r="CM74" s="1188"/>
      <c r="CN74" s="1188"/>
      <c r="CO74" s="1188"/>
      <c r="CP74" s="1188"/>
    </row>
    <row r="75" spans="1:94" ht="15.75" customHeight="1" thickBot="1">
      <c r="A75" s="1190"/>
      <c r="B75" s="2097" t="s">
        <v>124</v>
      </c>
      <c r="C75" s="2098"/>
      <c r="D75" s="2098"/>
      <c r="E75" s="2098"/>
      <c r="F75" s="2098"/>
      <c r="G75" s="2098"/>
      <c r="H75" s="2098"/>
      <c r="I75" s="2098"/>
      <c r="J75" s="2098"/>
      <c r="K75" s="2098"/>
      <c r="L75" s="2098"/>
      <c r="M75" s="2098"/>
      <c r="N75" s="2098"/>
      <c r="O75" s="2099">
        <f>SUM(O70:AA74)</f>
        <v>0</v>
      </c>
      <c r="P75" s="2099"/>
      <c r="Q75" s="2099"/>
      <c r="R75" s="2099"/>
      <c r="S75" s="2099"/>
      <c r="T75" s="2099"/>
      <c r="U75" s="2099"/>
      <c r="V75" s="2099"/>
      <c r="W75" s="2099"/>
      <c r="X75" s="2099"/>
      <c r="Y75" s="2099"/>
      <c r="Z75" s="2099"/>
      <c r="AA75" s="2100"/>
      <c r="AB75" s="1190"/>
      <c r="AC75" s="2090"/>
      <c r="AD75" s="2091"/>
      <c r="AE75" s="2091"/>
      <c r="AF75" s="2091"/>
      <c r="AG75" s="2091"/>
      <c r="AH75" s="2091"/>
      <c r="AI75" s="2091"/>
      <c r="AJ75" s="2091"/>
      <c r="AK75" s="2091"/>
      <c r="AL75" s="2091"/>
      <c r="AM75" s="2091"/>
      <c r="AN75" s="2091"/>
      <c r="AO75" s="2091"/>
      <c r="AP75" s="2091"/>
      <c r="AQ75" s="2091"/>
      <c r="AR75" s="2091"/>
      <c r="AS75" s="2091"/>
      <c r="AT75" s="2091"/>
      <c r="AU75" s="2091"/>
      <c r="AV75" s="2091"/>
      <c r="AW75" s="2091"/>
      <c r="AX75" s="2091"/>
      <c r="AY75" s="2091"/>
      <c r="AZ75" s="2091"/>
      <c r="BA75" s="2091"/>
      <c r="BB75" s="2091"/>
      <c r="BC75" s="209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90"/>
      <c r="AD76" s="2091"/>
      <c r="AE76" s="2091"/>
      <c r="AF76" s="2091"/>
      <c r="AG76" s="2091"/>
      <c r="AH76" s="2091"/>
      <c r="AI76" s="2091"/>
      <c r="AJ76" s="2091"/>
      <c r="AK76" s="2091"/>
      <c r="AL76" s="2091"/>
      <c r="AM76" s="2091"/>
      <c r="AN76" s="2091"/>
      <c r="AO76" s="2091"/>
      <c r="AP76" s="2091"/>
      <c r="AQ76" s="2091"/>
      <c r="AR76" s="2091"/>
      <c r="AS76" s="2091"/>
      <c r="AT76" s="2091"/>
      <c r="AU76" s="2091"/>
      <c r="AV76" s="2091"/>
      <c r="AW76" s="2091"/>
      <c r="AX76" s="2091"/>
      <c r="AY76" s="2091"/>
      <c r="AZ76" s="2091"/>
      <c r="BA76" s="2091"/>
      <c r="BB76" s="2091"/>
      <c r="BC76" s="209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93"/>
      <c r="AD77" s="2094"/>
      <c r="AE77" s="2094"/>
      <c r="AF77" s="2094"/>
      <c r="AG77" s="2094"/>
      <c r="AH77" s="2094"/>
      <c r="AI77" s="2094"/>
      <c r="AJ77" s="2094"/>
      <c r="AK77" s="2094"/>
      <c r="AL77" s="2094"/>
      <c r="AM77" s="2094"/>
      <c r="AN77" s="2094"/>
      <c r="AO77" s="2094"/>
      <c r="AP77" s="2094"/>
      <c r="AQ77" s="2094"/>
      <c r="AR77" s="2094"/>
      <c r="AS77" s="2094"/>
      <c r="AT77" s="2094"/>
      <c r="AU77" s="2094"/>
      <c r="AV77" s="2094"/>
      <c r="AW77" s="2094"/>
      <c r="AX77" s="2094"/>
      <c r="AY77" s="2094"/>
      <c r="AZ77" s="2094"/>
      <c r="BA77" s="2094"/>
      <c r="BB77" s="2094"/>
      <c r="BC77" s="209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72"/>
      <c r="G79" s="2073"/>
      <c r="H79" s="2073"/>
      <c r="I79" s="2073"/>
      <c r="J79" s="2073"/>
      <c r="K79" s="2073"/>
      <c r="L79" s="2073"/>
      <c r="M79" s="2073"/>
      <c r="N79" s="2073"/>
      <c r="O79" s="2073"/>
      <c r="P79" s="2073"/>
      <c r="Q79" s="2073"/>
      <c r="R79" s="2073"/>
      <c r="S79" s="2073"/>
      <c r="T79" s="207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75" t="s">
        <v>2384</v>
      </c>
      <c r="C80" s="2076"/>
      <c r="D80" s="2076"/>
      <c r="E80" s="2076"/>
      <c r="F80" s="2076"/>
      <c r="G80" s="2076"/>
      <c r="H80" s="2076"/>
      <c r="I80" s="2076"/>
      <c r="J80" s="2076"/>
      <c r="K80" s="2076"/>
      <c r="L80" s="2076"/>
      <c r="M80" s="2076"/>
      <c r="N80" s="2076"/>
      <c r="O80" s="2076"/>
      <c r="P80" s="2076"/>
      <c r="Q80" s="2076"/>
      <c r="R80" s="2077" t="str">
        <f>IFERROR(INDEX(BR96:BR98,MATCH(F79,$BQ$96:$BQ$98,0))/SUM($BR$96:$BR$98),"")</f>
        <v/>
      </c>
      <c r="S80" s="2078"/>
      <c r="T80" s="207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80" t="s">
        <v>2383</v>
      </c>
      <c r="C81" s="2081"/>
      <c r="D81" s="2081"/>
      <c r="E81" s="2081"/>
      <c r="F81" s="2081"/>
      <c r="G81" s="2081"/>
      <c r="H81" s="2081"/>
      <c r="I81" s="2081"/>
      <c r="J81" s="2081"/>
      <c r="K81" s="2081"/>
      <c r="L81" s="2081"/>
      <c r="M81" s="2081"/>
      <c r="N81" s="2081"/>
      <c r="O81" s="2081"/>
      <c r="P81" s="2081"/>
      <c r="Q81" s="2081"/>
      <c r="R81" s="2082" t="s">
        <v>2189</v>
      </c>
      <c r="S81" s="2083"/>
      <c r="T81" s="208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85" t="s">
        <v>2382</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190"/>
      <c r="AJ83" s="2103" t="s">
        <v>2381</v>
      </c>
      <c r="AK83" s="2104"/>
      <c r="AL83" s="2104"/>
      <c r="AM83" s="2104"/>
      <c r="AN83" s="2104"/>
      <c r="AO83" s="2104"/>
      <c r="AP83" s="2104"/>
      <c r="AQ83" s="2104"/>
      <c r="AR83" s="2104"/>
      <c r="AS83" s="2104"/>
      <c r="AT83" s="2104"/>
      <c r="AU83" s="2104"/>
      <c r="AV83" s="2104"/>
      <c r="AW83" s="2104"/>
      <c r="AX83" s="2104"/>
      <c r="AY83" s="2107" t="s">
        <v>546</v>
      </c>
      <c r="AZ83" s="2107"/>
      <c r="BA83" s="2107"/>
      <c r="BB83" s="2108"/>
      <c r="BC83" s="1190"/>
      <c r="BD83" s="1190"/>
      <c r="BE83" s="1194"/>
      <c r="CK83" s="1188"/>
      <c r="CL83" s="1188"/>
      <c r="CM83" s="1188"/>
      <c r="CN83" s="1188"/>
      <c r="CO83" s="1188"/>
      <c r="CP83" s="1188"/>
    </row>
    <row r="84" spans="1:94" ht="15.75" customHeight="1">
      <c r="A84" s="1190"/>
      <c r="B84" s="2024"/>
      <c r="C84" s="2025"/>
      <c r="D84" s="2025"/>
      <c r="E84" s="2025"/>
      <c r="F84" s="2025"/>
      <c r="G84" s="2025"/>
      <c r="H84" s="2025"/>
      <c r="I84" s="2025" t="s">
        <v>2371</v>
      </c>
      <c r="J84" s="2025"/>
      <c r="K84" s="2025"/>
      <c r="L84" s="2025"/>
      <c r="M84" s="2025"/>
      <c r="N84" s="2025"/>
      <c r="O84" s="2025" t="s">
        <v>2347</v>
      </c>
      <c r="P84" s="2025"/>
      <c r="Q84" s="2025"/>
      <c r="R84" s="2025"/>
      <c r="S84" s="2025"/>
      <c r="T84" s="2025"/>
      <c r="U84" s="2025"/>
      <c r="V84" s="2111" t="s">
        <v>2346</v>
      </c>
      <c r="W84" s="2111"/>
      <c r="X84" s="2111"/>
      <c r="Y84" s="2111"/>
      <c r="Z84" s="2111"/>
      <c r="AA84" s="2111"/>
      <c r="AB84" s="2112" t="s">
        <v>2370</v>
      </c>
      <c r="AC84" s="2112"/>
      <c r="AD84" s="2112"/>
      <c r="AE84" s="2112"/>
      <c r="AF84" s="2112"/>
      <c r="AG84" s="2112"/>
      <c r="AH84" s="2113"/>
      <c r="AI84" s="1190"/>
      <c r="AJ84" s="2105"/>
      <c r="AK84" s="2106"/>
      <c r="AL84" s="2106"/>
      <c r="AM84" s="2106"/>
      <c r="AN84" s="2106"/>
      <c r="AO84" s="2106"/>
      <c r="AP84" s="2106"/>
      <c r="AQ84" s="2106"/>
      <c r="AR84" s="2106"/>
      <c r="AS84" s="2106"/>
      <c r="AT84" s="2106"/>
      <c r="AU84" s="2106"/>
      <c r="AV84" s="2106"/>
      <c r="AW84" s="2106"/>
      <c r="AX84" s="2106"/>
      <c r="AY84" s="2109"/>
      <c r="AZ84" s="2109"/>
      <c r="BA84" s="2109"/>
      <c r="BB84" s="2110"/>
      <c r="BC84" s="1190"/>
      <c r="BD84" s="1190"/>
      <c r="BE84" s="1194"/>
      <c r="CK84" s="1188"/>
      <c r="CL84" s="1188"/>
      <c r="CM84" s="1188"/>
      <c r="CN84" s="1188"/>
      <c r="CO84" s="1188"/>
      <c r="CP84" s="1188"/>
    </row>
    <row r="85" spans="1:94" ht="15.75" customHeight="1">
      <c r="A85" s="1190"/>
      <c r="B85" s="2024"/>
      <c r="C85" s="2025"/>
      <c r="D85" s="2025"/>
      <c r="E85" s="2025"/>
      <c r="F85" s="2025"/>
      <c r="G85" s="2025"/>
      <c r="H85" s="2025"/>
      <c r="I85" s="2025"/>
      <c r="J85" s="2025"/>
      <c r="K85" s="2025"/>
      <c r="L85" s="2025"/>
      <c r="M85" s="2025"/>
      <c r="N85" s="2025"/>
      <c r="O85" s="2025"/>
      <c r="P85" s="2025"/>
      <c r="Q85" s="2025"/>
      <c r="R85" s="2025"/>
      <c r="S85" s="2025"/>
      <c r="T85" s="2025"/>
      <c r="U85" s="2025"/>
      <c r="V85" s="2111"/>
      <c r="W85" s="2111"/>
      <c r="X85" s="2111"/>
      <c r="Y85" s="2111"/>
      <c r="Z85" s="2111"/>
      <c r="AA85" s="2111"/>
      <c r="AB85" s="2112"/>
      <c r="AC85" s="2112"/>
      <c r="AD85" s="2112"/>
      <c r="AE85" s="2112"/>
      <c r="AF85" s="2112"/>
      <c r="AG85" s="2112"/>
      <c r="AH85" s="2113"/>
      <c r="AI85" s="1190"/>
      <c r="AJ85" s="2105"/>
      <c r="AK85" s="2106"/>
      <c r="AL85" s="2106"/>
      <c r="AM85" s="2106"/>
      <c r="AN85" s="2106"/>
      <c r="AO85" s="2106"/>
      <c r="AP85" s="2106"/>
      <c r="AQ85" s="2106"/>
      <c r="AR85" s="2106"/>
      <c r="AS85" s="2106"/>
      <c r="AT85" s="2106"/>
      <c r="AU85" s="2106"/>
      <c r="AV85" s="2106"/>
      <c r="AW85" s="2106"/>
      <c r="AX85" s="2106"/>
      <c r="AY85" s="2109"/>
      <c r="AZ85" s="2109"/>
      <c r="BA85" s="2109"/>
      <c r="BB85" s="2110"/>
      <c r="BC85" s="1190"/>
      <c r="BD85" s="1190"/>
      <c r="BE85" s="1194"/>
      <c r="CK85" s="1188"/>
      <c r="CL85" s="1188"/>
      <c r="CM85" s="1188"/>
      <c r="CN85" s="1188"/>
      <c r="CO85" s="1188"/>
      <c r="CP85" s="1188"/>
    </row>
    <row r="86" spans="1:94" ht="15.75" customHeight="1">
      <c r="A86" s="1190"/>
      <c r="B86" s="2024" t="s">
        <v>2369</v>
      </c>
      <c r="C86" s="2025"/>
      <c r="D86" s="2025"/>
      <c r="E86" s="2025"/>
      <c r="F86" s="2025"/>
      <c r="G86" s="2025"/>
      <c r="H86" s="2025"/>
      <c r="I86" s="2101">
        <v>0</v>
      </c>
      <c r="J86" s="2101"/>
      <c r="K86" s="2101"/>
      <c r="L86" s="2101"/>
      <c r="M86" s="2101"/>
      <c r="N86" s="2101"/>
      <c r="O86" s="2101">
        <v>0</v>
      </c>
      <c r="P86" s="2101"/>
      <c r="Q86" s="2101"/>
      <c r="R86" s="2101"/>
      <c r="S86" s="2101"/>
      <c r="T86" s="2101"/>
      <c r="U86" s="2101"/>
      <c r="V86" s="2101">
        <v>0</v>
      </c>
      <c r="W86" s="2101"/>
      <c r="X86" s="2101"/>
      <c r="Y86" s="2101"/>
      <c r="Z86" s="2101"/>
      <c r="AA86" s="2101"/>
      <c r="AB86" s="2101">
        <v>0</v>
      </c>
      <c r="AC86" s="2101"/>
      <c r="AD86" s="2101"/>
      <c r="AE86" s="2101"/>
      <c r="AF86" s="2101"/>
      <c r="AG86" s="2101"/>
      <c r="AH86" s="2102"/>
      <c r="AI86" s="1190"/>
      <c r="AJ86" s="2105"/>
      <c r="AK86" s="2106"/>
      <c r="AL86" s="2106"/>
      <c r="AM86" s="2106"/>
      <c r="AN86" s="2106"/>
      <c r="AO86" s="2106"/>
      <c r="AP86" s="2106"/>
      <c r="AQ86" s="2106"/>
      <c r="AR86" s="2106"/>
      <c r="AS86" s="2106"/>
      <c r="AT86" s="2106"/>
      <c r="AU86" s="2106"/>
      <c r="AV86" s="2106"/>
      <c r="AW86" s="2106"/>
      <c r="AX86" s="2106"/>
      <c r="AY86" s="2109"/>
      <c r="AZ86" s="2109"/>
      <c r="BA86" s="2109"/>
      <c r="BB86" s="2110"/>
      <c r="BC86" s="1190"/>
      <c r="BD86" s="1190"/>
      <c r="BE86" s="1194"/>
      <c r="CK86" s="1188"/>
      <c r="CL86" s="1188"/>
      <c r="CM86" s="1188"/>
      <c r="CN86" s="1188"/>
      <c r="CO86" s="1188"/>
      <c r="CP86" s="1188"/>
    </row>
    <row r="87" spans="1:94" ht="15.75" customHeight="1">
      <c r="A87" s="1190"/>
      <c r="B87" s="2024" t="s">
        <v>2368</v>
      </c>
      <c r="C87" s="2025"/>
      <c r="D87" s="2025"/>
      <c r="E87" s="2025"/>
      <c r="F87" s="2025"/>
      <c r="G87" s="2025"/>
      <c r="H87" s="2025"/>
      <c r="I87" s="2101">
        <v>0</v>
      </c>
      <c r="J87" s="2101"/>
      <c r="K87" s="2101"/>
      <c r="L87" s="2101"/>
      <c r="M87" s="2101"/>
      <c r="N87" s="2101"/>
      <c r="O87" s="2101">
        <v>0</v>
      </c>
      <c r="P87" s="2101"/>
      <c r="Q87" s="2101"/>
      <c r="R87" s="2101"/>
      <c r="S87" s="2101"/>
      <c r="T87" s="2101"/>
      <c r="U87" s="2101"/>
      <c r="V87" s="2101">
        <v>0</v>
      </c>
      <c r="W87" s="2101"/>
      <c r="X87" s="2101"/>
      <c r="Y87" s="2101"/>
      <c r="Z87" s="2101"/>
      <c r="AA87" s="2101"/>
      <c r="AB87" s="2101">
        <v>0</v>
      </c>
      <c r="AC87" s="2101"/>
      <c r="AD87" s="2101"/>
      <c r="AE87" s="2101"/>
      <c r="AF87" s="2101"/>
      <c r="AG87" s="2101"/>
      <c r="AH87" s="2102"/>
      <c r="AI87" s="1190"/>
      <c r="AJ87" s="2090" t="s">
        <v>2375</v>
      </c>
      <c r="AK87" s="2091"/>
      <c r="AL87" s="2091"/>
      <c r="AM87" s="2091"/>
      <c r="AN87" s="2091"/>
      <c r="AO87" s="2091"/>
      <c r="AP87" s="2091"/>
      <c r="AQ87" s="2091"/>
      <c r="AR87" s="2091"/>
      <c r="AS87" s="2091"/>
      <c r="AT87" s="2091"/>
      <c r="AU87" s="2091"/>
      <c r="AV87" s="2091"/>
      <c r="AW87" s="2091"/>
      <c r="AX87" s="2091"/>
      <c r="AY87" s="2091"/>
      <c r="AZ87" s="2091"/>
      <c r="BA87" s="2091"/>
      <c r="BB87" s="2092"/>
      <c r="BC87" s="1190"/>
      <c r="BD87" s="1190"/>
      <c r="BE87" s="1194"/>
      <c r="CK87" s="1188"/>
      <c r="CL87" s="1188"/>
      <c r="CM87" s="1188"/>
      <c r="CN87" s="1188"/>
      <c r="CO87" s="1188"/>
      <c r="CP87" s="1188"/>
    </row>
    <row r="88" spans="1:94" ht="15.75" customHeight="1" thickBot="1">
      <c r="A88" s="1190"/>
      <c r="B88" s="2042" t="s">
        <v>2367</v>
      </c>
      <c r="C88" s="2043"/>
      <c r="D88" s="2043"/>
      <c r="E88" s="2043"/>
      <c r="F88" s="2043"/>
      <c r="G88" s="2043"/>
      <c r="H88" s="2043"/>
      <c r="I88" s="2116">
        <v>0</v>
      </c>
      <c r="J88" s="2116"/>
      <c r="K88" s="2116"/>
      <c r="L88" s="2116"/>
      <c r="M88" s="2116"/>
      <c r="N88" s="2116"/>
      <c r="O88" s="2116">
        <v>0</v>
      </c>
      <c r="P88" s="2116"/>
      <c r="Q88" s="2116"/>
      <c r="R88" s="2116"/>
      <c r="S88" s="2116"/>
      <c r="T88" s="2116"/>
      <c r="U88" s="2116"/>
      <c r="V88" s="2116">
        <v>0</v>
      </c>
      <c r="W88" s="2116"/>
      <c r="X88" s="2116"/>
      <c r="Y88" s="2116"/>
      <c r="Z88" s="2116"/>
      <c r="AA88" s="2116"/>
      <c r="AB88" s="2116">
        <v>0</v>
      </c>
      <c r="AC88" s="2116"/>
      <c r="AD88" s="2116"/>
      <c r="AE88" s="2116"/>
      <c r="AF88" s="2116"/>
      <c r="AG88" s="2116"/>
      <c r="AH88" s="2117"/>
      <c r="AI88" s="1190"/>
      <c r="AJ88" s="2093"/>
      <c r="AK88" s="2094"/>
      <c r="AL88" s="2094"/>
      <c r="AM88" s="2094"/>
      <c r="AN88" s="2094"/>
      <c r="AO88" s="2094"/>
      <c r="AP88" s="2094"/>
      <c r="AQ88" s="2094"/>
      <c r="AR88" s="2094"/>
      <c r="AS88" s="2094"/>
      <c r="AT88" s="2094"/>
      <c r="AU88" s="2094"/>
      <c r="AV88" s="2094"/>
      <c r="AW88" s="2094"/>
      <c r="AX88" s="2094"/>
      <c r="AY88" s="2094"/>
      <c r="AZ88" s="2094"/>
      <c r="BA88" s="2094"/>
      <c r="BB88" s="209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72"/>
      <c r="G92" s="2073"/>
      <c r="H92" s="2073"/>
      <c r="I92" s="2073"/>
      <c r="J92" s="2073"/>
      <c r="K92" s="2073"/>
      <c r="L92" s="2073"/>
      <c r="M92" s="2073"/>
      <c r="N92" s="2073"/>
      <c r="O92" s="2073"/>
      <c r="P92" s="2073"/>
      <c r="Q92" s="2073"/>
      <c r="R92" s="2073"/>
      <c r="S92" s="2073"/>
      <c r="T92" s="207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75" t="s">
        <v>2379</v>
      </c>
      <c r="C93" s="2076"/>
      <c r="D93" s="2076"/>
      <c r="E93" s="2076"/>
      <c r="F93" s="2076"/>
      <c r="G93" s="2076"/>
      <c r="H93" s="2076"/>
      <c r="I93" s="2076"/>
      <c r="J93" s="2076"/>
      <c r="K93" s="2076"/>
      <c r="L93" s="2076"/>
      <c r="M93" s="2076"/>
      <c r="N93" s="2076"/>
      <c r="O93" s="2076"/>
      <c r="P93" s="2076"/>
      <c r="Q93" s="2114"/>
      <c r="R93" s="2077" t="str">
        <f>IFERROR(INDEX(BR96:BR98,MATCH(F92,$BQ$96:$BQ$98,0))/SUM($BR$96:$BR$98),"")</f>
        <v/>
      </c>
      <c r="S93" s="2078"/>
      <c r="T93" s="207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80" t="s">
        <v>2378</v>
      </c>
      <c r="C94" s="2081"/>
      <c r="D94" s="2081"/>
      <c r="E94" s="2081"/>
      <c r="F94" s="2081"/>
      <c r="G94" s="2081"/>
      <c r="H94" s="2081"/>
      <c r="I94" s="2081"/>
      <c r="J94" s="2081"/>
      <c r="K94" s="2081"/>
      <c r="L94" s="2081"/>
      <c r="M94" s="2081"/>
      <c r="N94" s="2081"/>
      <c r="O94" s="2081"/>
      <c r="P94" s="2081"/>
      <c r="Q94" s="2115"/>
      <c r="R94" s="2082" t="s">
        <v>2189</v>
      </c>
      <c r="S94" s="2083"/>
      <c r="T94" s="208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85" t="s">
        <v>2377</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190"/>
      <c r="AJ96" s="2103" t="s">
        <v>2376</v>
      </c>
      <c r="AK96" s="2104"/>
      <c r="AL96" s="2104"/>
      <c r="AM96" s="2104"/>
      <c r="AN96" s="2104"/>
      <c r="AO96" s="2104"/>
      <c r="AP96" s="2104"/>
      <c r="AQ96" s="2104"/>
      <c r="AR96" s="2104"/>
      <c r="AS96" s="2104"/>
      <c r="AT96" s="2104"/>
      <c r="AU96" s="2104"/>
      <c r="AV96" s="2104"/>
      <c r="AW96" s="2104"/>
      <c r="AX96" s="2104"/>
      <c r="AY96" s="2107" t="s">
        <v>546</v>
      </c>
      <c r="AZ96" s="2107"/>
      <c r="BA96" s="2107"/>
      <c r="BB96" s="2108"/>
      <c r="BC96" s="1190"/>
      <c r="BD96" s="1190"/>
      <c r="BE96" s="1194"/>
      <c r="BQ96" s="1256" t="str">
        <f>Application!M243&amp;IF(TRIM(Application!AA249)&lt;&gt;""," ("&amp;Application!AA249&amp;")","")</f>
        <v>Community Revitalization and Development Corporation</v>
      </c>
      <c r="BR96" s="1259">
        <f>Application!AH246</f>
        <v>0</v>
      </c>
      <c r="CM96" s="1188"/>
      <c r="CN96" s="1188"/>
      <c r="CO96" s="1188"/>
      <c r="CP96" s="1188"/>
    </row>
    <row r="97" spans="1:94" ht="15.75" customHeight="1">
      <c r="A97" s="1190"/>
      <c r="B97" s="2024"/>
      <c r="C97" s="2025"/>
      <c r="D97" s="2025"/>
      <c r="E97" s="2025"/>
      <c r="F97" s="2025"/>
      <c r="G97" s="2025"/>
      <c r="H97" s="2025"/>
      <c r="I97" s="2025" t="s">
        <v>2371</v>
      </c>
      <c r="J97" s="2025"/>
      <c r="K97" s="2025"/>
      <c r="L97" s="2025"/>
      <c r="M97" s="2025"/>
      <c r="N97" s="2025"/>
      <c r="O97" s="2025" t="s">
        <v>2347</v>
      </c>
      <c r="P97" s="2025"/>
      <c r="Q97" s="2025"/>
      <c r="R97" s="2025"/>
      <c r="S97" s="2025"/>
      <c r="T97" s="2025"/>
      <c r="U97" s="2025"/>
      <c r="V97" s="2111" t="s">
        <v>2346</v>
      </c>
      <c r="W97" s="2111"/>
      <c r="X97" s="2111"/>
      <c r="Y97" s="2111"/>
      <c r="Z97" s="2111"/>
      <c r="AA97" s="2111"/>
      <c r="AB97" s="2112" t="s">
        <v>2370</v>
      </c>
      <c r="AC97" s="2112"/>
      <c r="AD97" s="2112"/>
      <c r="AE97" s="2112"/>
      <c r="AF97" s="2112"/>
      <c r="AG97" s="2112"/>
      <c r="AH97" s="2113"/>
      <c r="AI97" s="1190"/>
      <c r="AJ97" s="2105"/>
      <c r="AK97" s="2106"/>
      <c r="AL97" s="2106"/>
      <c r="AM97" s="2106"/>
      <c r="AN97" s="2106"/>
      <c r="AO97" s="2106"/>
      <c r="AP97" s="2106"/>
      <c r="AQ97" s="2106"/>
      <c r="AR97" s="2106"/>
      <c r="AS97" s="2106"/>
      <c r="AT97" s="2106"/>
      <c r="AU97" s="2106"/>
      <c r="AV97" s="2106"/>
      <c r="AW97" s="2106"/>
      <c r="AX97" s="2106"/>
      <c r="AY97" s="2109"/>
      <c r="AZ97" s="2109"/>
      <c r="BA97" s="2109"/>
      <c r="BB97" s="2110"/>
      <c r="BC97" s="1190"/>
      <c r="BD97" s="1190"/>
      <c r="BE97" s="1194"/>
      <c r="BQ97" s="1256" t="str">
        <f>Application!M251&amp;IF(TRIM(Application!AA257)&lt;&gt;""," ("&amp;Application!AA257&amp;")","")</f>
        <v>Eureka G Street LLC  (Johnson &amp; Johnson Investments, LLC)</v>
      </c>
      <c r="BR97" s="1259">
        <f>Application!AH254</f>
        <v>0</v>
      </c>
      <c r="CM97" s="1188"/>
      <c r="CN97" s="1188"/>
      <c r="CO97" s="1188"/>
      <c r="CP97" s="1188"/>
    </row>
    <row r="98" spans="1:94" ht="15.75" customHeight="1">
      <c r="A98" s="1190"/>
      <c r="B98" s="2024"/>
      <c r="C98" s="2025"/>
      <c r="D98" s="2025"/>
      <c r="E98" s="2025"/>
      <c r="F98" s="2025"/>
      <c r="G98" s="2025"/>
      <c r="H98" s="2025"/>
      <c r="I98" s="2025"/>
      <c r="J98" s="2025"/>
      <c r="K98" s="2025"/>
      <c r="L98" s="2025"/>
      <c r="M98" s="2025"/>
      <c r="N98" s="2025"/>
      <c r="O98" s="2025"/>
      <c r="P98" s="2025"/>
      <c r="Q98" s="2025"/>
      <c r="R98" s="2025"/>
      <c r="S98" s="2025"/>
      <c r="T98" s="2025"/>
      <c r="U98" s="2025"/>
      <c r="V98" s="2111"/>
      <c r="W98" s="2111"/>
      <c r="X98" s="2111"/>
      <c r="Y98" s="2111"/>
      <c r="Z98" s="2111"/>
      <c r="AA98" s="2111"/>
      <c r="AB98" s="2112"/>
      <c r="AC98" s="2112"/>
      <c r="AD98" s="2112"/>
      <c r="AE98" s="2112"/>
      <c r="AF98" s="2112"/>
      <c r="AG98" s="2112"/>
      <c r="AH98" s="2113"/>
      <c r="AI98" s="1190"/>
      <c r="AJ98" s="2105"/>
      <c r="AK98" s="2106"/>
      <c r="AL98" s="2106"/>
      <c r="AM98" s="2106"/>
      <c r="AN98" s="2106"/>
      <c r="AO98" s="2106"/>
      <c r="AP98" s="2106"/>
      <c r="AQ98" s="2106"/>
      <c r="AR98" s="2106"/>
      <c r="AS98" s="2106"/>
      <c r="AT98" s="2106"/>
      <c r="AU98" s="2106"/>
      <c r="AV98" s="2106"/>
      <c r="AW98" s="2106"/>
      <c r="AX98" s="2106"/>
      <c r="AY98" s="2109"/>
      <c r="AZ98" s="2109"/>
      <c r="BA98" s="2109"/>
      <c r="BB98" s="211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24" t="s">
        <v>2369</v>
      </c>
      <c r="C99" s="2025"/>
      <c r="D99" s="2025"/>
      <c r="E99" s="2025"/>
      <c r="F99" s="2025"/>
      <c r="G99" s="2025"/>
      <c r="H99" s="2025"/>
      <c r="I99" s="2101">
        <v>0</v>
      </c>
      <c r="J99" s="2101"/>
      <c r="K99" s="2101"/>
      <c r="L99" s="2101"/>
      <c r="M99" s="2101"/>
      <c r="N99" s="2101"/>
      <c r="O99" s="2101">
        <v>0</v>
      </c>
      <c r="P99" s="2101"/>
      <c r="Q99" s="2101"/>
      <c r="R99" s="2101"/>
      <c r="S99" s="2101"/>
      <c r="T99" s="2101"/>
      <c r="U99" s="2101"/>
      <c r="V99" s="2101">
        <v>0</v>
      </c>
      <c r="W99" s="2101"/>
      <c r="X99" s="2101"/>
      <c r="Y99" s="2101"/>
      <c r="Z99" s="2101"/>
      <c r="AA99" s="2101"/>
      <c r="AB99" s="2101">
        <v>0</v>
      </c>
      <c r="AC99" s="2101"/>
      <c r="AD99" s="2101"/>
      <c r="AE99" s="2101"/>
      <c r="AF99" s="2101"/>
      <c r="AG99" s="2101"/>
      <c r="AH99" s="2102"/>
      <c r="AI99" s="1190"/>
      <c r="AJ99" s="2105"/>
      <c r="AK99" s="2106"/>
      <c r="AL99" s="2106"/>
      <c r="AM99" s="2106"/>
      <c r="AN99" s="2106"/>
      <c r="AO99" s="2106"/>
      <c r="AP99" s="2106"/>
      <c r="AQ99" s="2106"/>
      <c r="AR99" s="2106"/>
      <c r="AS99" s="2106"/>
      <c r="AT99" s="2106"/>
      <c r="AU99" s="2106"/>
      <c r="AV99" s="2106"/>
      <c r="AW99" s="2106"/>
      <c r="AX99" s="2106"/>
      <c r="AY99" s="2109"/>
      <c r="AZ99" s="2109"/>
      <c r="BA99" s="2109"/>
      <c r="BB99" s="2110"/>
      <c r="BC99" s="1190"/>
      <c r="BD99" s="1190"/>
      <c r="BE99" s="1194"/>
      <c r="CM99" s="1188"/>
      <c r="CN99" s="1188"/>
      <c r="CO99" s="1188"/>
      <c r="CP99" s="1188"/>
    </row>
    <row r="100" spans="1:94" ht="15.75" customHeight="1">
      <c r="A100" s="1190"/>
      <c r="B100" s="2024" t="s">
        <v>2368</v>
      </c>
      <c r="C100" s="2025"/>
      <c r="D100" s="2025"/>
      <c r="E100" s="2025"/>
      <c r="F100" s="2025"/>
      <c r="G100" s="2025"/>
      <c r="H100" s="2025"/>
      <c r="I100" s="2101">
        <v>0</v>
      </c>
      <c r="J100" s="2101"/>
      <c r="K100" s="2101"/>
      <c r="L100" s="2101"/>
      <c r="M100" s="2101"/>
      <c r="N100" s="2101"/>
      <c r="O100" s="2101">
        <v>0</v>
      </c>
      <c r="P100" s="2101"/>
      <c r="Q100" s="2101"/>
      <c r="R100" s="2101"/>
      <c r="S100" s="2101"/>
      <c r="T100" s="2101"/>
      <c r="U100" s="2101"/>
      <c r="V100" s="2101">
        <v>0</v>
      </c>
      <c r="W100" s="2101"/>
      <c r="X100" s="2101"/>
      <c r="Y100" s="2101"/>
      <c r="Z100" s="2101"/>
      <c r="AA100" s="2101"/>
      <c r="AB100" s="2101">
        <v>0</v>
      </c>
      <c r="AC100" s="2101"/>
      <c r="AD100" s="2101"/>
      <c r="AE100" s="2101"/>
      <c r="AF100" s="2101"/>
      <c r="AG100" s="2101"/>
      <c r="AH100" s="2102"/>
      <c r="AI100" s="1190"/>
      <c r="AJ100" s="2090" t="s">
        <v>2375</v>
      </c>
      <c r="AK100" s="2091"/>
      <c r="AL100" s="2091"/>
      <c r="AM100" s="2091"/>
      <c r="AN100" s="2091"/>
      <c r="AO100" s="2091"/>
      <c r="AP100" s="2091"/>
      <c r="AQ100" s="2091"/>
      <c r="AR100" s="2091"/>
      <c r="AS100" s="2091"/>
      <c r="AT100" s="2091"/>
      <c r="AU100" s="2091"/>
      <c r="AV100" s="2091"/>
      <c r="AW100" s="2091"/>
      <c r="AX100" s="2091"/>
      <c r="AY100" s="2091"/>
      <c r="AZ100" s="2091"/>
      <c r="BA100" s="2091"/>
      <c r="BB100" s="2092"/>
      <c r="BC100" s="1190"/>
      <c r="BD100" s="1190"/>
      <c r="BE100" s="1194"/>
      <c r="CM100" s="1188"/>
      <c r="CN100" s="1188"/>
      <c r="CO100" s="1188"/>
      <c r="CP100" s="1188"/>
    </row>
    <row r="101" spans="1:94" ht="15.75" customHeight="1" thickBot="1">
      <c r="A101" s="1190"/>
      <c r="B101" s="2042" t="s">
        <v>2367</v>
      </c>
      <c r="C101" s="2043"/>
      <c r="D101" s="2043"/>
      <c r="E101" s="2043"/>
      <c r="F101" s="2043"/>
      <c r="G101" s="2043"/>
      <c r="H101" s="2043"/>
      <c r="I101" s="2116">
        <v>0</v>
      </c>
      <c r="J101" s="2116"/>
      <c r="K101" s="2116"/>
      <c r="L101" s="2116"/>
      <c r="M101" s="2116"/>
      <c r="N101" s="2116"/>
      <c r="O101" s="2116">
        <v>0</v>
      </c>
      <c r="P101" s="2116"/>
      <c r="Q101" s="2116"/>
      <c r="R101" s="2116"/>
      <c r="S101" s="2116"/>
      <c r="T101" s="2116"/>
      <c r="U101" s="2116"/>
      <c r="V101" s="2116">
        <v>0</v>
      </c>
      <c r="W101" s="2116"/>
      <c r="X101" s="2116"/>
      <c r="Y101" s="2116"/>
      <c r="Z101" s="2116"/>
      <c r="AA101" s="2116"/>
      <c r="AB101" s="2116">
        <v>0</v>
      </c>
      <c r="AC101" s="2116"/>
      <c r="AD101" s="2116"/>
      <c r="AE101" s="2116"/>
      <c r="AF101" s="2116"/>
      <c r="AG101" s="2116"/>
      <c r="AH101" s="2117"/>
      <c r="AI101" s="1190"/>
      <c r="AJ101" s="2093"/>
      <c r="AK101" s="2094"/>
      <c r="AL101" s="2094"/>
      <c r="AM101" s="2094"/>
      <c r="AN101" s="2094"/>
      <c r="AO101" s="2094"/>
      <c r="AP101" s="2094"/>
      <c r="AQ101" s="2094"/>
      <c r="AR101" s="2094"/>
      <c r="AS101" s="2094"/>
      <c r="AT101" s="2094"/>
      <c r="AU101" s="2094"/>
      <c r="AV101" s="2094"/>
      <c r="AW101" s="2094"/>
      <c r="AX101" s="2094"/>
      <c r="AY101" s="2094"/>
      <c r="AZ101" s="2094"/>
      <c r="BA101" s="2094"/>
      <c r="BB101" s="2095"/>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18"/>
      <c r="G104" s="2119"/>
      <c r="H104" s="2119"/>
      <c r="I104" s="2119"/>
      <c r="J104" s="2119"/>
      <c r="K104" s="2119"/>
      <c r="L104" s="2119"/>
      <c r="M104" s="2119"/>
      <c r="N104" s="2119"/>
      <c r="O104" s="2119"/>
      <c r="P104" s="2119"/>
      <c r="Q104" s="2119"/>
      <c r="R104" s="212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82" t="str">
        <f>IFERROR(INDEX(BR96:BR98,MATCH(F104,$BQ$96:$BQ$98,0))/SUM($BR$96:$BR$98),"")</f>
        <v/>
      </c>
      <c r="P105" s="2083"/>
      <c r="Q105" s="2083"/>
      <c r="R105" s="208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70" t="s">
        <v>2372</v>
      </c>
      <c r="C107" s="2071"/>
      <c r="D107" s="2071"/>
      <c r="E107" s="2071"/>
      <c r="F107" s="2071"/>
      <c r="G107" s="2071"/>
      <c r="H107" s="2071"/>
      <c r="I107" s="2071"/>
      <c r="J107" s="2071"/>
      <c r="K107" s="2071"/>
      <c r="L107" s="2071"/>
      <c r="M107" s="2071"/>
      <c r="N107" s="2071"/>
      <c r="O107" s="2071"/>
      <c r="P107" s="2071"/>
      <c r="Q107" s="2071"/>
      <c r="R107" s="2071"/>
      <c r="S107" s="2071"/>
      <c r="T107" s="2071"/>
      <c r="U107" s="2071"/>
      <c r="V107" s="2071"/>
      <c r="W107" s="2071"/>
      <c r="X107" s="2071"/>
      <c r="Y107" s="2071"/>
      <c r="Z107" s="2071"/>
      <c r="AA107" s="2071"/>
      <c r="AB107" s="2071"/>
      <c r="AC107" s="2071"/>
      <c r="AD107" s="2071"/>
      <c r="AE107" s="2071"/>
      <c r="AF107" s="2071"/>
      <c r="AG107" s="2071"/>
      <c r="AH107" s="212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24"/>
      <c r="C108" s="2025"/>
      <c r="D108" s="2025"/>
      <c r="E108" s="2025"/>
      <c r="F108" s="2025"/>
      <c r="G108" s="2025"/>
      <c r="H108" s="2025"/>
      <c r="I108" s="2025" t="s">
        <v>2371</v>
      </c>
      <c r="J108" s="2025"/>
      <c r="K108" s="2025"/>
      <c r="L108" s="2025"/>
      <c r="M108" s="2025"/>
      <c r="N108" s="2025"/>
      <c r="O108" s="2025" t="s">
        <v>2347</v>
      </c>
      <c r="P108" s="2025"/>
      <c r="Q108" s="2025"/>
      <c r="R108" s="2025"/>
      <c r="S108" s="2025"/>
      <c r="T108" s="2025"/>
      <c r="U108" s="2025"/>
      <c r="V108" s="2111" t="s">
        <v>2346</v>
      </c>
      <c r="W108" s="2111"/>
      <c r="X108" s="2111"/>
      <c r="Y108" s="2111"/>
      <c r="Z108" s="2111"/>
      <c r="AA108" s="2111"/>
      <c r="AB108" s="2112" t="s">
        <v>2370</v>
      </c>
      <c r="AC108" s="2112"/>
      <c r="AD108" s="2112"/>
      <c r="AE108" s="2112"/>
      <c r="AF108" s="2112"/>
      <c r="AG108" s="2112"/>
      <c r="AH108" s="211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24"/>
      <c r="C109" s="2025"/>
      <c r="D109" s="2025"/>
      <c r="E109" s="2025"/>
      <c r="F109" s="2025"/>
      <c r="G109" s="2025"/>
      <c r="H109" s="2025"/>
      <c r="I109" s="2025"/>
      <c r="J109" s="2025"/>
      <c r="K109" s="2025"/>
      <c r="L109" s="2025"/>
      <c r="M109" s="2025"/>
      <c r="N109" s="2025"/>
      <c r="O109" s="2025"/>
      <c r="P109" s="2025"/>
      <c r="Q109" s="2025"/>
      <c r="R109" s="2025"/>
      <c r="S109" s="2025"/>
      <c r="T109" s="2025"/>
      <c r="U109" s="2025"/>
      <c r="V109" s="2111"/>
      <c r="W109" s="2111"/>
      <c r="X109" s="2111"/>
      <c r="Y109" s="2111"/>
      <c r="Z109" s="2111"/>
      <c r="AA109" s="2111"/>
      <c r="AB109" s="2112"/>
      <c r="AC109" s="2112"/>
      <c r="AD109" s="2112"/>
      <c r="AE109" s="2112"/>
      <c r="AF109" s="2112"/>
      <c r="AG109" s="2112"/>
      <c r="AH109" s="211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24" t="s">
        <v>2369</v>
      </c>
      <c r="C110" s="2025"/>
      <c r="D110" s="2025"/>
      <c r="E110" s="2025"/>
      <c r="F110" s="2025"/>
      <c r="G110" s="2025"/>
      <c r="H110" s="2025"/>
      <c r="I110" s="2101">
        <v>0</v>
      </c>
      <c r="J110" s="2101"/>
      <c r="K110" s="2101"/>
      <c r="L110" s="2101"/>
      <c r="M110" s="2101"/>
      <c r="N110" s="2101"/>
      <c r="O110" s="2101">
        <v>0</v>
      </c>
      <c r="P110" s="2101"/>
      <c r="Q110" s="2101"/>
      <c r="R110" s="2101"/>
      <c r="S110" s="2101"/>
      <c r="T110" s="2101"/>
      <c r="U110" s="2101"/>
      <c r="V110" s="2101">
        <v>0</v>
      </c>
      <c r="W110" s="2101"/>
      <c r="X110" s="2101"/>
      <c r="Y110" s="2101"/>
      <c r="Z110" s="2101"/>
      <c r="AA110" s="2101"/>
      <c r="AB110" s="2101">
        <v>0</v>
      </c>
      <c r="AC110" s="2101"/>
      <c r="AD110" s="2101"/>
      <c r="AE110" s="2101"/>
      <c r="AF110" s="2101"/>
      <c r="AG110" s="2101"/>
      <c r="AH110" s="210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24" t="s">
        <v>2368</v>
      </c>
      <c r="C111" s="2025"/>
      <c r="D111" s="2025"/>
      <c r="E111" s="2025"/>
      <c r="F111" s="2025"/>
      <c r="G111" s="2025"/>
      <c r="H111" s="2025"/>
      <c r="I111" s="2101">
        <v>0</v>
      </c>
      <c r="J111" s="2101"/>
      <c r="K111" s="2101"/>
      <c r="L111" s="2101"/>
      <c r="M111" s="2101"/>
      <c r="N111" s="2101"/>
      <c r="O111" s="2101">
        <v>0</v>
      </c>
      <c r="P111" s="2101"/>
      <c r="Q111" s="2101"/>
      <c r="R111" s="2101"/>
      <c r="S111" s="2101"/>
      <c r="T111" s="2101"/>
      <c r="U111" s="2101"/>
      <c r="V111" s="2101">
        <v>0</v>
      </c>
      <c r="W111" s="2101"/>
      <c r="X111" s="2101"/>
      <c r="Y111" s="2101"/>
      <c r="Z111" s="2101"/>
      <c r="AA111" s="2101"/>
      <c r="AB111" s="2101">
        <v>0</v>
      </c>
      <c r="AC111" s="2101"/>
      <c r="AD111" s="2101"/>
      <c r="AE111" s="2101"/>
      <c r="AF111" s="2101"/>
      <c r="AG111" s="2101"/>
      <c r="AH111" s="210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42" t="s">
        <v>2367</v>
      </c>
      <c r="C112" s="2043"/>
      <c r="D112" s="2043"/>
      <c r="E112" s="2043"/>
      <c r="F112" s="2043"/>
      <c r="G112" s="2043"/>
      <c r="H112" s="2043"/>
      <c r="I112" s="2116">
        <v>0</v>
      </c>
      <c r="J112" s="2116"/>
      <c r="K112" s="2116"/>
      <c r="L112" s="2116"/>
      <c r="M112" s="2116"/>
      <c r="N112" s="2116"/>
      <c r="O112" s="2116">
        <v>0</v>
      </c>
      <c r="P112" s="2116"/>
      <c r="Q112" s="2116"/>
      <c r="R112" s="2116"/>
      <c r="S112" s="2116"/>
      <c r="T112" s="2116"/>
      <c r="U112" s="2116"/>
      <c r="V112" s="2116">
        <v>0</v>
      </c>
      <c r="W112" s="2116"/>
      <c r="X112" s="2116"/>
      <c r="Y112" s="2116"/>
      <c r="Z112" s="2116"/>
      <c r="AA112" s="2116"/>
      <c r="AB112" s="2116">
        <v>0</v>
      </c>
      <c r="AC112" s="2116"/>
      <c r="AD112" s="2116"/>
      <c r="AE112" s="2116"/>
      <c r="AF112" s="2116"/>
      <c r="AG112" s="2116"/>
      <c r="AH112" s="211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18"/>
      <c r="G115" s="2119"/>
      <c r="H115" s="2119"/>
      <c r="I115" s="2119"/>
      <c r="J115" s="2119"/>
      <c r="K115" s="2119"/>
      <c r="L115" s="2119"/>
      <c r="M115" s="2119"/>
      <c r="N115" s="2119"/>
      <c r="O115" s="2119"/>
      <c r="P115" s="2119"/>
      <c r="Q115" s="2119"/>
      <c r="R115" s="212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0" t="s">
        <v>2365</v>
      </c>
      <c r="C117" s="2131"/>
      <c r="D117" s="2131"/>
      <c r="E117" s="2131"/>
      <c r="F117" s="2131"/>
      <c r="G117" s="2131"/>
      <c r="H117" s="2131"/>
      <c r="I117" s="2131"/>
      <c r="J117" s="2131"/>
      <c r="K117" s="2131"/>
      <c r="L117" s="2131"/>
      <c r="M117" s="2131"/>
      <c r="N117" s="2131"/>
      <c r="O117" s="2131"/>
      <c r="P117" s="2131"/>
      <c r="Q117" s="2131"/>
      <c r="R117" s="2131"/>
      <c r="S117" s="2131"/>
      <c r="T117" s="2131"/>
      <c r="U117" s="2134" t="s">
        <v>546</v>
      </c>
      <c r="V117" s="2134"/>
      <c r="W117" s="2134"/>
      <c r="X117" s="213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2"/>
      <c r="C118" s="2133"/>
      <c r="D118" s="2133"/>
      <c r="E118" s="2133"/>
      <c r="F118" s="2133"/>
      <c r="G118" s="2133"/>
      <c r="H118" s="2133"/>
      <c r="I118" s="2133"/>
      <c r="J118" s="2133"/>
      <c r="K118" s="2133"/>
      <c r="L118" s="2133"/>
      <c r="M118" s="2133"/>
      <c r="N118" s="2133"/>
      <c r="O118" s="2133"/>
      <c r="P118" s="2133"/>
      <c r="Q118" s="2133"/>
      <c r="R118" s="2133"/>
      <c r="S118" s="2133"/>
      <c r="T118" s="2133"/>
      <c r="U118" s="2136"/>
      <c r="V118" s="2136"/>
      <c r="W118" s="2136"/>
      <c r="X118" s="213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2"/>
      <c r="C119" s="2133"/>
      <c r="D119" s="2133"/>
      <c r="E119" s="2133"/>
      <c r="F119" s="2133"/>
      <c r="G119" s="2133"/>
      <c r="H119" s="2133"/>
      <c r="I119" s="2133"/>
      <c r="J119" s="2133"/>
      <c r="K119" s="2133"/>
      <c r="L119" s="2133"/>
      <c r="M119" s="2133"/>
      <c r="N119" s="2133"/>
      <c r="O119" s="2133"/>
      <c r="P119" s="2133"/>
      <c r="Q119" s="2133"/>
      <c r="R119" s="2133"/>
      <c r="S119" s="2133"/>
      <c r="T119" s="2133"/>
      <c r="U119" s="2136"/>
      <c r="V119" s="2136"/>
      <c r="W119" s="2136"/>
      <c r="X119" s="213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2"/>
      <c r="C120" s="2133"/>
      <c r="D120" s="2133"/>
      <c r="E120" s="2133"/>
      <c r="F120" s="2133"/>
      <c r="G120" s="2133"/>
      <c r="H120" s="2133"/>
      <c r="I120" s="2133"/>
      <c r="J120" s="2133"/>
      <c r="K120" s="2133"/>
      <c r="L120" s="2133"/>
      <c r="M120" s="2133"/>
      <c r="N120" s="2133"/>
      <c r="O120" s="2133"/>
      <c r="P120" s="2133"/>
      <c r="Q120" s="2133"/>
      <c r="R120" s="2133"/>
      <c r="S120" s="2133"/>
      <c r="T120" s="2133"/>
      <c r="U120" s="2136"/>
      <c r="V120" s="2136"/>
      <c r="W120" s="2136"/>
      <c r="X120" s="213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8" t="s">
        <v>2365</v>
      </c>
      <c r="C121" s="2139"/>
      <c r="D121" s="2139"/>
      <c r="E121" s="2139"/>
      <c r="F121" s="2139"/>
      <c r="G121" s="2139"/>
      <c r="H121" s="2139"/>
      <c r="I121" s="2139"/>
      <c r="J121" s="2139"/>
      <c r="K121" s="2139"/>
      <c r="L121" s="2139"/>
      <c r="M121" s="2139"/>
      <c r="N121" s="2139"/>
      <c r="O121" s="2139"/>
      <c r="P121" s="2139"/>
      <c r="Q121" s="2139"/>
      <c r="R121" s="2139"/>
      <c r="S121" s="2139"/>
      <c r="T121" s="2139"/>
      <c r="U121" s="2142" t="s">
        <v>546</v>
      </c>
      <c r="V121" s="2142"/>
      <c r="W121" s="2142"/>
      <c r="X121" s="214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0"/>
      <c r="C122" s="2141"/>
      <c r="D122" s="2141"/>
      <c r="E122" s="2141"/>
      <c r="F122" s="2141"/>
      <c r="G122" s="2141"/>
      <c r="H122" s="2141"/>
      <c r="I122" s="2141"/>
      <c r="J122" s="2141"/>
      <c r="K122" s="2141"/>
      <c r="L122" s="2141"/>
      <c r="M122" s="2141"/>
      <c r="N122" s="2141"/>
      <c r="O122" s="2141"/>
      <c r="P122" s="2141"/>
      <c r="Q122" s="2141"/>
      <c r="R122" s="2141"/>
      <c r="S122" s="2141"/>
      <c r="T122" s="2141"/>
      <c r="U122" s="2144"/>
      <c r="V122" s="2144"/>
      <c r="W122" s="2144"/>
      <c r="X122" s="214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03" t="s">
        <v>2363</v>
      </c>
      <c r="Y125" s="2104"/>
      <c r="Z125" s="2104"/>
      <c r="AA125" s="2104"/>
      <c r="AB125" s="2104"/>
      <c r="AC125" s="2104"/>
      <c r="AD125" s="2104"/>
      <c r="AE125" s="2104"/>
      <c r="AF125" s="2104"/>
      <c r="AG125" s="2104"/>
      <c r="AH125" s="2104"/>
      <c r="AI125" s="2104"/>
      <c r="AJ125" s="2104"/>
      <c r="AK125" s="2104"/>
      <c r="AL125" s="2104"/>
      <c r="AM125" s="2104"/>
      <c r="AN125" s="2104"/>
      <c r="AO125" s="2104"/>
      <c r="AP125" s="2104"/>
      <c r="AQ125" s="2104"/>
      <c r="AR125" s="2104"/>
      <c r="AS125" s="2104"/>
      <c r="AT125" s="2104"/>
      <c r="AU125" s="2104"/>
      <c r="AV125" s="2104"/>
      <c r="AW125" s="2104"/>
      <c r="AX125" s="2104"/>
      <c r="AY125" s="2104"/>
      <c r="AZ125" s="2104"/>
      <c r="BA125" s="2104"/>
      <c r="BB125" s="2104"/>
      <c r="BC125" s="2104"/>
      <c r="BD125" s="2146"/>
      <c r="BE125" s="1194"/>
    </row>
    <row r="126" spans="1:57" ht="15.75" customHeight="1">
      <c r="A126" s="1190"/>
      <c r="B126" s="2148" t="s">
        <v>1577</v>
      </c>
      <c r="C126" s="2149"/>
      <c r="D126" s="2149"/>
      <c r="E126" s="2149"/>
      <c r="F126" s="2149"/>
      <c r="G126" s="2149"/>
      <c r="H126" s="2149"/>
      <c r="I126" s="2149"/>
      <c r="J126" s="2149"/>
      <c r="K126" s="2149"/>
      <c r="L126" s="2149"/>
      <c r="M126" s="2149"/>
      <c r="N126" s="2149"/>
      <c r="O126" s="2149"/>
      <c r="P126" s="2149"/>
      <c r="Q126" s="2149"/>
      <c r="R126" s="2149"/>
      <c r="S126" s="2149"/>
      <c r="T126" s="2149"/>
      <c r="U126" s="2150"/>
      <c r="V126" s="1190"/>
      <c r="W126" s="1190"/>
      <c r="X126" s="2105"/>
      <c r="Y126" s="2106"/>
      <c r="Z126" s="2106"/>
      <c r="AA126" s="2106"/>
      <c r="AB126" s="2106"/>
      <c r="AC126" s="2106"/>
      <c r="AD126" s="2106"/>
      <c r="AE126" s="2106"/>
      <c r="AF126" s="2106"/>
      <c r="AG126" s="2106"/>
      <c r="AH126" s="2106"/>
      <c r="AI126" s="2106"/>
      <c r="AJ126" s="2106"/>
      <c r="AK126" s="2106"/>
      <c r="AL126" s="2106"/>
      <c r="AM126" s="2106"/>
      <c r="AN126" s="2106"/>
      <c r="AO126" s="2106"/>
      <c r="AP126" s="2106"/>
      <c r="AQ126" s="2106"/>
      <c r="AR126" s="2106"/>
      <c r="AS126" s="2106"/>
      <c r="AT126" s="2106"/>
      <c r="AU126" s="2106"/>
      <c r="AV126" s="2106"/>
      <c r="AW126" s="2106"/>
      <c r="AX126" s="2106"/>
      <c r="AY126" s="2106"/>
      <c r="AZ126" s="2106"/>
      <c r="BA126" s="2106"/>
      <c r="BB126" s="2106"/>
      <c r="BC126" s="2106"/>
      <c r="BD126" s="2147"/>
      <c r="BE126" s="1194"/>
    </row>
    <row r="127" spans="1:57" ht="15.75" customHeight="1">
      <c r="A127" s="1190"/>
      <c r="B127" s="2166"/>
      <c r="C127" s="2167"/>
      <c r="D127" s="2167"/>
      <c r="E127" s="2167"/>
      <c r="F127" s="2167"/>
      <c r="G127" s="2167"/>
      <c r="H127" s="2167"/>
      <c r="I127" s="2025" t="s">
        <v>2362</v>
      </c>
      <c r="J127" s="2025"/>
      <c r="K127" s="2025"/>
      <c r="L127" s="2025"/>
      <c r="M127" s="2025"/>
      <c r="N127" s="2025"/>
      <c r="O127" s="2122" t="s">
        <v>2361</v>
      </c>
      <c r="P127" s="2122"/>
      <c r="Q127" s="2122"/>
      <c r="R127" s="2122"/>
      <c r="S127" s="2122"/>
      <c r="T127" s="2122"/>
      <c r="U127" s="2123"/>
      <c r="V127" s="1190"/>
      <c r="W127" s="1190"/>
      <c r="X127" s="2090" t="s">
        <v>2331</v>
      </c>
      <c r="Y127" s="2091"/>
      <c r="Z127" s="2091"/>
      <c r="AA127" s="2091"/>
      <c r="AB127" s="2091"/>
      <c r="AC127" s="2091"/>
      <c r="AD127" s="2091"/>
      <c r="AE127" s="2091"/>
      <c r="AF127" s="2091"/>
      <c r="AG127" s="2091"/>
      <c r="AH127" s="2091"/>
      <c r="AI127" s="2091"/>
      <c r="AJ127" s="2091"/>
      <c r="AK127" s="2091"/>
      <c r="AL127" s="2091"/>
      <c r="AM127" s="2091"/>
      <c r="AN127" s="2091"/>
      <c r="AO127" s="2091"/>
      <c r="AP127" s="2091"/>
      <c r="AQ127" s="2091"/>
      <c r="AR127" s="2091"/>
      <c r="AS127" s="2091"/>
      <c r="AT127" s="2091"/>
      <c r="AU127" s="2091"/>
      <c r="AV127" s="2091"/>
      <c r="AW127" s="2091"/>
      <c r="AX127" s="2091"/>
      <c r="AY127" s="2091"/>
      <c r="AZ127" s="2091"/>
      <c r="BA127" s="2091"/>
      <c r="BB127" s="2091"/>
      <c r="BC127" s="2091"/>
      <c r="BD127" s="2092"/>
      <c r="BE127" s="1194"/>
    </row>
    <row r="128" spans="1:57" ht="15.75" customHeight="1">
      <c r="A128" s="1190"/>
      <c r="B128" s="2124" t="s">
        <v>2345</v>
      </c>
      <c r="C128" s="2125"/>
      <c r="D128" s="2125"/>
      <c r="E128" s="2125"/>
      <c r="F128" s="2125"/>
      <c r="G128" s="2125"/>
      <c r="H128" s="2125"/>
      <c r="I128" s="2101">
        <v>0</v>
      </c>
      <c r="J128" s="2101"/>
      <c r="K128" s="2101"/>
      <c r="L128" s="2101"/>
      <c r="M128" s="2101"/>
      <c r="N128" s="2101"/>
      <c r="O128" s="2101">
        <v>0</v>
      </c>
      <c r="P128" s="2101"/>
      <c r="Q128" s="2101"/>
      <c r="R128" s="2101"/>
      <c r="S128" s="2101"/>
      <c r="T128" s="2101"/>
      <c r="U128" s="2102"/>
      <c r="V128" s="1190"/>
      <c r="W128" s="1190"/>
      <c r="X128" s="2090"/>
      <c r="Y128" s="2091"/>
      <c r="Z128" s="2091"/>
      <c r="AA128" s="2091"/>
      <c r="AB128" s="2091"/>
      <c r="AC128" s="2091"/>
      <c r="AD128" s="2091"/>
      <c r="AE128" s="2091"/>
      <c r="AF128" s="2091"/>
      <c r="AG128" s="2091"/>
      <c r="AH128" s="2091"/>
      <c r="AI128" s="2091"/>
      <c r="AJ128" s="2091"/>
      <c r="AK128" s="2091"/>
      <c r="AL128" s="2091"/>
      <c r="AM128" s="2091"/>
      <c r="AN128" s="2091"/>
      <c r="AO128" s="2091"/>
      <c r="AP128" s="2091"/>
      <c r="AQ128" s="2091"/>
      <c r="AR128" s="2091"/>
      <c r="AS128" s="2091"/>
      <c r="AT128" s="2091"/>
      <c r="AU128" s="2091"/>
      <c r="AV128" s="2091"/>
      <c r="AW128" s="2091"/>
      <c r="AX128" s="2091"/>
      <c r="AY128" s="2091"/>
      <c r="AZ128" s="2091"/>
      <c r="BA128" s="2091"/>
      <c r="BB128" s="2091"/>
      <c r="BC128" s="2091"/>
      <c r="BD128" s="2092"/>
      <c r="BE128" s="1194"/>
    </row>
    <row r="129" spans="1:57" ht="15.75" customHeight="1" thickBot="1">
      <c r="A129" s="1190"/>
      <c r="B129" s="2126" t="s">
        <v>2344</v>
      </c>
      <c r="C129" s="2127"/>
      <c r="D129" s="2127"/>
      <c r="E129" s="2127"/>
      <c r="F129" s="2127"/>
      <c r="G129" s="2127"/>
      <c r="H129" s="2127"/>
      <c r="I129" s="2116">
        <v>0</v>
      </c>
      <c r="J129" s="2116"/>
      <c r="K129" s="2116"/>
      <c r="L129" s="2116"/>
      <c r="M129" s="2116"/>
      <c r="N129" s="2116"/>
      <c r="O129" s="2128"/>
      <c r="P129" s="2128"/>
      <c r="Q129" s="2128"/>
      <c r="R129" s="2128"/>
      <c r="S129" s="2128"/>
      <c r="T129" s="2128"/>
      <c r="U129" s="2129"/>
      <c r="V129" s="1190"/>
      <c r="W129" s="1190"/>
      <c r="X129" s="2090"/>
      <c r="Y129" s="2091"/>
      <c r="Z129" s="2091"/>
      <c r="AA129" s="2091"/>
      <c r="AB129" s="2091"/>
      <c r="AC129" s="2091"/>
      <c r="AD129" s="2091"/>
      <c r="AE129" s="2091"/>
      <c r="AF129" s="2091"/>
      <c r="AG129" s="2091"/>
      <c r="AH129" s="2091"/>
      <c r="AI129" s="2091"/>
      <c r="AJ129" s="2091"/>
      <c r="AK129" s="2091"/>
      <c r="AL129" s="2091"/>
      <c r="AM129" s="2091"/>
      <c r="AN129" s="2091"/>
      <c r="AO129" s="2091"/>
      <c r="AP129" s="2091"/>
      <c r="AQ129" s="2091"/>
      <c r="AR129" s="2091"/>
      <c r="AS129" s="2091"/>
      <c r="AT129" s="2091"/>
      <c r="AU129" s="2091"/>
      <c r="AV129" s="2091"/>
      <c r="AW129" s="2091"/>
      <c r="AX129" s="2091"/>
      <c r="AY129" s="2091"/>
      <c r="AZ129" s="2091"/>
      <c r="BA129" s="2091"/>
      <c r="BB129" s="2091"/>
      <c r="BC129" s="2091"/>
      <c r="BD129" s="209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90"/>
      <c r="Y130" s="2091"/>
      <c r="Z130" s="2091"/>
      <c r="AA130" s="2091"/>
      <c r="AB130" s="2091"/>
      <c r="AC130" s="2091"/>
      <c r="AD130" s="2091"/>
      <c r="AE130" s="2091"/>
      <c r="AF130" s="2091"/>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90"/>
      <c r="Y131" s="2091"/>
      <c r="Z131" s="2091"/>
      <c r="AA131" s="2091"/>
      <c r="AB131" s="2091"/>
      <c r="AC131" s="2091"/>
      <c r="AD131" s="2091"/>
      <c r="AE131" s="2091"/>
      <c r="AF131" s="2091"/>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091"/>
      <c r="AZ131" s="2091"/>
      <c r="BA131" s="2091"/>
      <c r="BB131" s="2091"/>
      <c r="BC131" s="2091"/>
      <c r="BD131" s="209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90"/>
      <c r="Y132" s="2091"/>
      <c r="Z132" s="2091"/>
      <c r="AA132" s="2091"/>
      <c r="AB132" s="2091"/>
      <c r="AC132" s="2091"/>
      <c r="AD132" s="2091"/>
      <c r="AE132" s="2091"/>
      <c r="AF132" s="2091"/>
      <c r="AG132" s="2091"/>
      <c r="AH132" s="2091"/>
      <c r="AI132" s="2091"/>
      <c r="AJ132" s="2091"/>
      <c r="AK132" s="2091"/>
      <c r="AL132" s="2091"/>
      <c r="AM132" s="2091"/>
      <c r="AN132" s="2091"/>
      <c r="AO132" s="2091"/>
      <c r="AP132" s="2091"/>
      <c r="AQ132" s="2091"/>
      <c r="AR132" s="2091"/>
      <c r="AS132" s="2091"/>
      <c r="AT132" s="2091"/>
      <c r="AU132" s="2091"/>
      <c r="AV132" s="2091"/>
      <c r="AW132" s="2091"/>
      <c r="AX132" s="2091"/>
      <c r="AY132" s="2091"/>
      <c r="AZ132" s="2091"/>
      <c r="BA132" s="2091"/>
      <c r="BB132" s="2091"/>
      <c r="BC132" s="2091"/>
      <c r="BD132" s="2092"/>
      <c r="BE132" s="1194"/>
    </row>
    <row r="133" spans="1:57" ht="15.75" customHeight="1">
      <c r="A133" s="1190"/>
      <c r="B133" s="1926" t="s">
        <v>2359</v>
      </c>
      <c r="C133" s="1927"/>
      <c r="D133" s="1927"/>
      <c r="E133" s="1927"/>
      <c r="F133" s="1927"/>
      <c r="G133" s="1927"/>
      <c r="H133" s="1927"/>
      <c r="I133" s="1927"/>
      <c r="J133" s="1927"/>
      <c r="K133" s="1927"/>
      <c r="L133" s="1927"/>
      <c r="M133" s="1927"/>
      <c r="N133" s="1927"/>
      <c r="O133" s="1927"/>
      <c r="P133" s="1927"/>
      <c r="Q133" s="1927"/>
      <c r="R133" s="1927"/>
      <c r="S133" s="1927"/>
      <c r="T133" s="1927"/>
      <c r="U133" s="1928"/>
      <c r="V133" s="1190"/>
      <c r="W133" s="1190"/>
      <c r="X133" s="2090"/>
      <c r="Y133" s="2091"/>
      <c r="Z133" s="2091"/>
      <c r="AA133" s="2091"/>
      <c r="AB133" s="2091"/>
      <c r="AC133" s="2091"/>
      <c r="AD133" s="2091"/>
      <c r="AE133" s="2091"/>
      <c r="AF133" s="2091"/>
      <c r="AG133" s="2091"/>
      <c r="AH133" s="2091"/>
      <c r="AI133" s="2091"/>
      <c r="AJ133" s="2091"/>
      <c r="AK133" s="2091"/>
      <c r="AL133" s="2091"/>
      <c r="AM133" s="2091"/>
      <c r="AN133" s="2091"/>
      <c r="AO133" s="2091"/>
      <c r="AP133" s="2091"/>
      <c r="AQ133" s="2091"/>
      <c r="AR133" s="2091"/>
      <c r="AS133" s="2091"/>
      <c r="AT133" s="2091"/>
      <c r="AU133" s="2091"/>
      <c r="AV133" s="2091"/>
      <c r="AW133" s="2091"/>
      <c r="AX133" s="2091"/>
      <c r="AY133" s="2091"/>
      <c r="AZ133" s="2091"/>
      <c r="BA133" s="2091"/>
      <c r="BB133" s="2091"/>
      <c r="BC133" s="2091"/>
      <c r="BD133" s="2092"/>
      <c r="BE133" s="1194"/>
    </row>
    <row r="134" spans="1:57" ht="15.75" customHeight="1">
      <c r="A134" s="1190"/>
      <c r="B134" s="2166"/>
      <c r="C134" s="2167"/>
      <c r="D134" s="2167"/>
      <c r="E134" s="2167"/>
      <c r="F134" s="2167"/>
      <c r="G134" s="2167"/>
      <c r="H134" s="2167"/>
      <c r="I134" s="2168" t="s">
        <v>2347</v>
      </c>
      <c r="J134" s="2168"/>
      <c r="K134" s="2168"/>
      <c r="L134" s="2168"/>
      <c r="M134" s="2168"/>
      <c r="N134" s="2168"/>
      <c r="O134" s="2168"/>
      <c r="P134" s="2168" t="s">
        <v>2346</v>
      </c>
      <c r="Q134" s="2168"/>
      <c r="R134" s="2168"/>
      <c r="S134" s="2168"/>
      <c r="T134" s="2168"/>
      <c r="U134" s="2169"/>
      <c r="V134" s="1190"/>
      <c r="W134" s="1190"/>
      <c r="X134" s="2090"/>
      <c r="Y134" s="2091"/>
      <c r="Z134" s="2091"/>
      <c r="AA134" s="2091"/>
      <c r="AB134" s="2091"/>
      <c r="AC134" s="2091"/>
      <c r="AD134" s="2091"/>
      <c r="AE134" s="2091"/>
      <c r="AF134" s="2091"/>
      <c r="AG134" s="2091"/>
      <c r="AH134" s="2091"/>
      <c r="AI134" s="2091"/>
      <c r="AJ134" s="2091"/>
      <c r="AK134" s="2091"/>
      <c r="AL134" s="2091"/>
      <c r="AM134" s="2091"/>
      <c r="AN134" s="2091"/>
      <c r="AO134" s="2091"/>
      <c r="AP134" s="2091"/>
      <c r="AQ134" s="2091"/>
      <c r="AR134" s="2091"/>
      <c r="AS134" s="2091"/>
      <c r="AT134" s="2091"/>
      <c r="AU134" s="2091"/>
      <c r="AV134" s="2091"/>
      <c r="AW134" s="2091"/>
      <c r="AX134" s="2091"/>
      <c r="AY134" s="2091"/>
      <c r="AZ134" s="2091"/>
      <c r="BA134" s="2091"/>
      <c r="BB134" s="2091"/>
      <c r="BC134" s="2091"/>
      <c r="BD134" s="2092"/>
      <c r="BE134" s="1194"/>
    </row>
    <row r="135" spans="1:57" ht="15.75" customHeight="1">
      <c r="A135" s="1190"/>
      <c r="B135" s="2166"/>
      <c r="C135" s="2167"/>
      <c r="D135" s="2167"/>
      <c r="E135" s="2167"/>
      <c r="F135" s="2167"/>
      <c r="G135" s="2167"/>
      <c r="H135" s="2167"/>
      <c r="I135" s="2168"/>
      <c r="J135" s="2168"/>
      <c r="K135" s="2168"/>
      <c r="L135" s="2168"/>
      <c r="M135" s="2168"/>
      <c r="N135" s="2168"/>
      <c r="O135" s="2168"/>
      <c r="P135" s="2168"/>
      <c r="Q135" s="2168"/>
      <c r="R135" s="2168"/>
      <c r="S135" s="2168"/>
      <c r="T135" s="2168"/>
      <c r="U135" s="2169"/>
      <c r="V135" s="1190"/>
      <c r="W135" s="1190"/>
      <c r="X135" s="2090"/>
      <c r="Y135" s="2091"/>
      <c r="Z135" s="2091"/>
      <c r="AA135" s="2091"/>
      <c r="AB135" s="2091"/>
      <c r="AC135" s="2091"/>
      <c r="AD135" s="2091"/>
      <c r="AE135" s="2091"/>
      <c r="AF135" s="2091"/>
      <c r="AG135" s="2091"/>
      <c r="AH135" s="2091"/>
      <c r="AI135" s="2091"/>
      <c r="AJ135" s="2091"/>
      <c r="AK135" s="2091"/>
      <c r="AL135" s="2091"/>
      <c r="AM135" s="2091"/>
      <c r="AN135" s="2091"/>
      <c r="AO135" s="2091"/>
      <c r="AP135" s="2091"/>
      <c r="AQ135" s="2091"/>
      <c r="AR135" s="2091"/>
      <c r="AS135" s="2091"/>
      <c r="AT135" s="2091"/>
      <c r="AU135" s="2091"/>
      <c r="AV135" s="2091"/>
      <c r="AW135" s="2091"/>
      <c r="AX135" s="2091"/>
      <c r="AY135" s="2091"/>
      <c r="AZ135" s="2091"/>
      <c r="BA135" s="2091"/>
      <c r="BB135" s="2091"/>
      <c r="BC135" s="2091"/>
      <c r="BD135" s="2092"/>
      <c r="BE135" s="1194"/>
    </row>
    <row r="136" spans="1:57" ht="15.75" customHeight="1">
      <c r="A136" s="1190"/>
      <c r="B136" s="2124" t="s">
        <v>2345</v>
      </c>
      <c r="C136" s="2125"/>
      <c r="D136" s="2125"/>
      <c r="E136" s="2125"/>
      <c r="F136" s="2125"/>
      <c r="G136" s="2125"/>
      <c r="H136" s="2125"/>
      <c r="I136" s="2101">
        <v>0</v>
      </c>
      <c r="J136" s="2101"/>
      <c r="K136" s="2101"/>
      <c r="L136" s="2101"/>
      <c r="M136" s="2101"/>
      <c r="N136" s="2101"/>
      <c r="O136" s="2101"/>
      <c r="P136" s="2101">
        <v>0</v>
      </c>
      <c r="Q136" s="2101"/>
      <c r="R136" s="2101"/>
      <c r="S136" s="2101"/>
      <c r="T136" s="2101"/>
      <c r="U136" s="2102"/>
      <c r="V136" s="1190"/>
      <c r="W136" s="1190"/>
      <c r="X136" s="2090"/>
      <c r="Y136" s="2091"/>
      <c r="Z136" s="2091"/>
      <c r="AA136" s="2091"/>
      <c r="AB136" s="2091"/>
      <c r="AC136" s="2091"/>
      <c r="AD136" s="2091"/>
      <c r="AE136" s="2091"/>
      <c r="AF136" s="2091"/>
      <c r="AG136" s="2091"/>
      <c r="AH136" s="2091"/>
      <c r="AI136" s="2091"/>
      <c r="AJ136" s="2091"/>
      <c r="AK136" s="2091"/>
      <c r="AL136" s="2091"/>
      <c r="AM136" s="2091"/>
      <c r="AN136" s="2091"/>
      <c r="AO136" s="2091"/>
      <c r="AP136" s="2091"/>
      <c r="AQ136" s="2091"/>
      <c r="AR136" s="2091"/>
      <c r="AS136" s="2091"/>
      <c r="AT136" s="2091"/>
      <c r="AU136" s="2091"/>
      <c r="AV136" s="2091"/>
      <c r="AW136" s="2091"/>
      <c r="AX136" s="2091"/>
      <c r="AY136" s="2091"/>
      <c r="AZ136" s="2091"/>
      <c r="BA136" s="2091"/>
      <c r="BB136" s="2091"/>
      <c r="BC136" s="2091"/>
      <c r="BD136" s="2092"/>
      <c r="BE136" s="1194"/>
    </row>
    <row r="137" spans="1:57" ht="15.75" customHeight="1" thickBot="1">
      <c r="A137" s="1190"/>
      <c r="B137" s="2126" t="s">
        <v>2344</v>
      </c>
      <c r="C137" s="2127"/>
      <c r="D137" s="2127"/>
      <c r="E137" s="2127"/>
      <c r="F137" s="2127"/>
      <c r="G137" s="2127"/>
      <c r="H137" s="2127"/>
      <c r="I137" s="2116">
        <v>0</v>
      </c>
      <c r="J137" s="2116"/>
      <c r="K137" s="2116"/>
      <c r="L137" s="2116"/>
      <c r="M137" s="2116"/>
      <c r="N137" s="2116"/>
      <c r="O137" s="2116"/>
      <c r="P137" s="2116">
        <v>0</v>
      </c>
      <c r="Q137" s="2116"/>
      <c r="R137" s="2116"/>
      <c r="S137" s="2116"/>
      <c r="T137" s="2116"/>
      <c r="U137" s="2117"/>
      <c r="V137" s="1190"/>
      <c r="W137" s="1190"/>
      <c r="X137" s="2093"/>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4"/>
      <c r="AY137" s="2094"/>
      <c r="AZ137" s="2094"/>
      <c r="BA137" s="2094"/>
      <c r="BB137" s="2094"/>
      <c r="BC137" s="2094"/>
      <c r="BD137" s="209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64" t="s">
        <v>2358</v>
      </c>
      <c r="C139" s="2165"/>
      <c r="D139" s="2165"/>
      <c r="E139" s="2165"/>
      <c r="F139" s="2165"/>
      <c r="G139" s="2165"/>
      <c r="H139" s="2165"/>
      <c r="I139" s="2165"/>
      <c r="J139" s="2165"/>
      <c r="K139" s="2165"/>
      <c r="L139" s="2165"/>
      <c r="M139" s="2165"/>
      <c r="N139" s="2165"/>
      <c r="O139" s="2165"/>
      <c r="P139" s="2165"/>
      <c r="Q139" s="2165"/>
      <c r="R139" s="2165"/>
      <c r="S139" s="2165"/>
      <c r="T139" s="2165"/>
      <c r="U139" s="2165"/>
      <c r="V139" s="2165"/>
      <c r="W139" s="2165"/>
      <c r="X139" s="2165"/>
      <c r="Y139" s="2165"/>
      <c r="Z139" s="2165"/>
      <c r="AA139" s="2165"/>
      <c r="AB139" s="2165"/>
      <c r="AC139" s="2165"/>
      <c r="AD139" s="2165"/>
      <c r="AE139" s="2165"/>
      <c r="AF139" s="2165"/>
      <c r="AG139" s="2165"/>
      <c r="AH139" s="2049" t="s">
        <v>546</v>
      </c>
      <c r="AI139" s="2049"/>
      <c r="AJ139" s="2049"/>
      <c r="AK139" s="2049"/>
      <c r="AL139" s="2049"/>
      <c r="AM139" s="2049"/>
      <c r="AN139" s="2049"/>
      <c r="AO139" s="2049"/>
      <c r="AP139" s="2049"/>
      <c r="AQ139" s="2049"/>
      <c r="AR139" s="2049"/>
      <c r="AS139" s="2049"/>
      <c r="AT139" s="2049"/>
      <c r="AU139" s="2049"/>
      <c r="AV139" s="2049"/>
      <c r="AW139" s="2049"/>
      <c r="AX139" s="2050"/>
      <c r="AY139" s="1190"/>
      <c r="AZ139" s="1190"/>
      <c r="BA139" s="1190"/>
      <c r="BB139" s="1190"/>
      <c r="BC139" s="1190"/>
      <c r="BD139" s="1190"/>
      <c r="BE139" s="1194"/>
    </row>
    <row r="140" spans="1:57" ht="15.75" customHeight="1" thickBot="1">
      <c r="A140" s="1190"/>
      <c r="B140" s="2151" t="s">
        <v>2357</v>
      </c>
      <c r="C140" s="2152"/>
      <c r="D140" s="2152"/>
      <c r="E140" s="2152"/>
      <c r="F140" s="2152"/>
      <c r="G140" s="2152"/>
      <c r="H140" s="2152"/>
      <c r="I140" s="2152"/>
      <c r="J140" s="2152"/>
      <c r="K140" s="2152"/>
      <c r="L140" s="2152"/>
      <c r="M140" s="2152"/>
      <c r="N140" s="2152"/>
      <c r="O140" s="2152"/>
      <c r="P140" s="2152"/>
      <c r="Q140" s="2152"/>
      <c r="R140" s="2152"/>
      <c r="S140" s="2152"/>
      <c r="T140" s="2152"/>
      <c r="U140" s="2152"/>
      <c r="V140" s="2152"/>
      <c r="W140" s="2152"/>
      <c r="X140" s="2152"/>
      <c r="Y140" s="2152"/>
      <c r="Z140" s="2152"/>
      <c r="AA140" s="2152"/>
      <c r="AB140" s="2152"/>
      <c r="AC140" s="2152"/>
      <c r="AD140" s="2152"/>
      <c r="AE140" s="2152"/>
      <c r="AF140" s="2152"/>
      <c r="AG140" s="2153"/>
      <c r="AH140" s="2118"/>
      <c r="AI140" s="2119"/>
      <c r="AJ140" s="2119"/>
      <c r="AK140" s="2119"/>
      <c r="AL140" s="2119"/>
      <c r="AM140" s="2119"/>
      <c r="AN140" s="2119"/>
      <c r="AO140" s="2119"/>
      <c r="AP140" s="2119"/>
      <c r="AQ140" s="2119"/>
      <c r="AR140" s="2119"/>
      <c r="AS140" s="2119"/>
      <c r="AT140" s="2119"/>
      <c r="AU140" s="2119"/>
      <c r="AV140" s="2119"/>
      <c r="AW140" s="2119"/>
      <c r="AX140" s="2120"/>
      <c r="AY140" s="1190"/>
      <c r="AZ140" s="1190"/>
      <c r="BA140" s="1190"/>
      <c r="BB140" s="1190"/>
      <c r="BC140" s="1190"/>
      <c r="BD140" s="1190"/>
      <c r="BE140" s="1194"/>
    </row>
    <row r="141" spans="1:57" ht="15.75" customHeight="1">
      <c r="A141" s="1190"/>
      <c r="B141" s="2151" t="s">
        <v>2356</v>
      </c>
      <c r="C141" s="2152"/>
      <c r="D141" s="2152"/>
      <c r="E141" s="2152"/>
      <c r="F141" s="2152"/>
      <c r="G141" s="2152"/>
      <c r="H141" s="2152"/>
      <c r="I141" s="2152"/>
      <c r="J141" s="2152"/>
      <c r="K141" s="2152"/>
      <c r="L141" s="2152"/>
      <c r="M141" s="2152"/>
      <c r="N141" s="2152"/>
      <c r="O141" s="2152"/>
      <c r="P141" s="2152"/>
      <c r="Q141" s="2152"/>
      <c r="R141" s="2152"/>
      <c r="S141" s="2152"/>
      <c r="T141" s="2152"/>
      <c r="U141" s="2152"/>
      <c r="V141" s="2152"/>
      <c r="W141" s="2152"/>
      <c r="X141" s="2152"/>
      <c r="Y141" s="2152"/>
      <c r="Z141" s="2152"/>
      <c r="AA141" s="2152"/>
      <c r="AB141" s="2152"/>
      <c r="AC141" s="2152"/>
      <c r="AD141" s="2152"/>
      <c r="AE141" s="2152"/>
      <c r="AF141" s="2152"/>
      <c r="AG141" s="2153"/>
      <c r="AH141" s="2049" t="s">
        <v>546</v>
      </c>
      <c r="AI141" s="2049"/>
      <c r="AJ141" s="2049"/>
      <c r="AK141" s="2049"/>
      <c r="AL141" s="2049"/>
      <c r="AM141" s="2049"/>
      <c r="AN141" s="2049"/>
      <c r="AO141" s="2049"/>
      <c r="AP141" s="2049"/>
      <c r="AQ141" s="2049"/>
      <c r="AR141" s="2049"/>
      <c r="AS141" s="2049"/>
      <c r="AT141" s="2049"/>
      <c r="AU141" s="2049"/>
      <c r="AV141" s="2049"/>
      <c r="AW141" s="2049"/>
      <c r="AX141" s="2050"/>
      <c r="AY141" s="1190"/>
      <c r="AZ141" s="1190"/>
      <c r="BA141" s="1190"/>
      <c r="BB141" s="1190"/>
      <c r="BC141" s="1190"/>
      <c r="BD141" s="1190"/>
      <c r="BE141" s="1194"/>
    </row>
    <row r="142" spans="1:57" ht="15.75" customHeight="1">
      <c r="A142" s="1190"/>
      <c r="B142" s="2154" t="s">
        <v>2355</v>
      </c>
      <c r="C142" s="2155"/>
      <c r="D142" s="2155"/>
      <c r="E142" s="2155"/>
      <c r="F142" s="2155"/>
      <c r="G142" s="2155"/>
      <c r="H142" s="2155"/>
      <c r="I142" s="2155"/>
      <c r="J142" s="2155"/>
      <c r="K142" s="2155"/>
      <c r="L142" s="2155"/>
      <c r="M142" s="2155"/>
      <c r="N142" s="2155"/>
      <c r="O142" s="2155"/>
      <c r="P142" s="2155"/>
      <c r="Q142" s="2155"/>
      <c r="R142" s="2156" t="s">
        <v>2354</v>
      </c>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6"/>
      <c r="AP142" s="2156"/>
      <c r="AQ142" s="2156"/>
      <c r="AR142" s="2156"/>
      <c r="AS142" s="2156"/>
      <c r="AT142" s="2156"/>
      <c r="AU142" s="2156"/>
      <c r="AV142" s="2156"/>
      <c r="AW142" s="2156"/>
      <c r="AX142" s="2157"/>
      <c r="AY142" s="1190"/>
      <c r="AZ142" s="1190"/>
      <c r="BA142" s="1190"/>
      <c r="BB142" s="1190"/>
      <c r="BC142" s="1190" t="s">
        <v>250</v>
      </c>
      <c r="BD142" s="1190"/>
      <c r="BE142" s="1194"/>
    </row>
    <row r="143" spans="1:57" ht="15.75" customHeight="1">
      <c r="A143" s="1190"/>
      <c r="B143" s="2158" t="s">
        <v>2353</v>
      </c>
      <c r="C143" s="2159"/>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2159"/>
      <c r="AB143" s="2159"/>
      <c r="AC143" s="2159"/>
      <c r="AD143" s="2159"/>
      <c r="AE143" s="2159"/>
      <c r="AF143" s="2159"/>
      <c r="AG143" s="2159"/>
      <c r="AH143" s="2159"/>
      <c r="AI143" s="2159"/>
      <c r="AJ143" s="2159"/>
      <c r="AK143" s="2159"/>
      <c r="AL143" s="2159"/>
      <c r="AM143" s="2159"/>
      <c r="AN143" s="2159"/>
      <c r="AO143" s="2159"/>
      <c r="AP143" s="2159"/>
      <c r="AQ143" s="2159"/>
      <c r="AR143" s="2159"/>
      <c r="AS143" s="2159"/>
      <c r="AT143" s="2159"/>
      <c r="AU143" s="2159"/>
      <c r="AV143" s="2159"/>
      <c r="AW143" s="2159"/>
      <c r="AX143" s="2160"/>
      <c r="AY143" s="1190"/>
      <c r="AZ143" s="1190"/>
      <c r="BA143" s="1190"/>
      <c r="BB143" s="1190"/>
      <c r="BC143" s="1190"/>
      <c r="BD143" s="1190"/>
      <c r="BE143" s="1194"/>
    </row>
    <row r="144" spans="1:57" ht="15.75" customHeight="1">
      <c r="A144" s="1190"/>
      <c r="B144" s="2158"/>
      <c r="C144" s="2159"/>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c r="Y144" s="2159"/>
      <c r="Z144" s="2159"/>
      <c r="AA144" s="2159"/>
      <c r="AB144" s="2159"/>
      <c r="AC144" s="2159"/>
      <c r="AD144" s="2159"/>
      <c r="AE144" s="2159"/>
      <c r="AF144" s="2159"/>
      <c r="AG144" s="2159"/>
      <c r="AH144" s="2159"/>
      <c r="AI144" s="2159"/>
      <c r="AJ144" s="2159"/>
      <c r="AK144" s="2159"/>
      <c r="AL144" s="2159"/>
      <c r="AM144" s="2159"/>
      <c r="AN144" s="2159"/>
      <c r="AO144" s="2159"/>
      <c r="AP144" s="2159"/>
      <c r="AQ144" s="2159"/>
      <c r="AR144" s="2159"/>
      <c r="AS144" s="2159"/>
      <c r="AT144" s="2159"/>
      <c r="AU144" s="2159"/>
      <c r="AV144" s="2159"/>
      <c r="AW144" s="2159"/>
      <c r="AX144" s="2160"/>
      <c r="AY144" s="1190"/>
      <c r="AZ144" s="1190"/>
      <c r="BA144" s="1190"/>
      <c r="BB144" s="1190"/>
      <c r="BC144" s="1190"/>
      <c r="BD144" s="1190"/>
      <c r="BE144" s="1194"/>
    </row>
    <row r="145" spans="1:57" ht="15.75" customHeight="1">
      <c r="A145" s="1190"/>
      <c r="B145" s="2158"/>
      <c r="C145" s="2159"/>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c r="Y145" s="2159"/>
      <c r="Z145" s="2159"/>
      <c r="AA145" s="2159"/>
      <c r="AB145" s="2159"/>
      <c r="AC145" s="2159"/>
      <c r="AD145" s="2159"/>
      <c r="AE145" s="2159"/>
      <c r="AF145" s="2159"/>
      <c r="AG145" s="2159"/>
      <c r="AH145" s="2159"/>
      <c r="AI145" s="2159"/>
      <c r="AJ145" s="2159"/>
      <c r="AK145" s="2159"/>
      <c r="AL145" s="2159"/>
      <c r="AM145" s="2159"/>
      <c r="AN145" s="2159"/>
      <c r="AO145" s="2159"/>
      <c r="AP145" s="2159"/>
      <c r="AQ145" s="2159"/>
      <c r="AR145" s="2159"/>
      <c r="AS145" s="2159"/>
      <c r="AT145" s="2159"/>
      <c r="AU145" s="2159"/>
      <c r="AV145" s="2159"/>
      <c r="AW145" s="2159"/>
      <c r="AX145" s="2160"/>
      <c r="AY145" s="1190"/>
      <c r="AZ145" s="1190"/>
      <c r="BA145" s="1190"/>
      <c r="BB145" s="1190"/>
      <c r="BC145" s="1190"/>
      <c r="BD145" s="1190"/>
      <c r="BE145" s="1194"/>
    </row>
    <row r="146" spans="1:57" ht="15.75" customHeight="1">
      <c r="A146" s="1190"/>
      <c r="B146" s="2158"/>
      <c r="C146" s="2159"/>
      <c r="D146" s="2159"/>
      <c r="E146" s="2159"/>
      <c r="F146" s="2159"/>
      <c r="G146" s="2159"/>
      <c r="H146" s="2159"/>
      <c r="I146" s="2159"/>
      <c r="J146" s="2159"/>
      <c r="K146" s="2159"/>
      <c r="L146" s="2159"/>
      <c r="M146" s="2159"/>
      <c r="N146" s="2159"/>
      <c r="O146" s="2159"/>
      <c r="P146" s="2159"/>
      <c r="Q146" s="2159"/>
      <c r="R146" s="2159"/>
      <c r="S146" s="2159"/>
      <c r="T146" s="2159"/>
      <c r="U146" s="2159"/>
      <c r="V146" s="2159"/>
      <c r="W146" s="2159"/>
      <c r="X146" s="2159"/>
      <c r="Y146" s="2159"/>
      <c r="Z146" s="2159"/>
      <c r="AA146" s="2159"/>
      <c r="AB146" s="2159"/>
      <c r="AC146" s="2159"/>
      <c r="AD146" s="2159"/>
      <c r="AE146" s="2159"/>
      <c r="AF146" s="2159"/>
      <c r="AG146" s="2159"/>
      <c r="AH146" s="2159"/>
      <c r="AI146" s="2159"/>
      <c r="AJ146" s="2159"/>
      <c r="AK146" s="2159"/>
      <c r="AL146" s="2159"/>
      <c r="AM146" s="2159"/>
      <c r="AN146" s="2159"/>
      <c r="AO146" s="2159"/>
      <c r="AP146" s="2159"/>
      <c r="AQ146" s="2159"/>
      <c r="AR146" s="2159"/>
      <c r="AS146" s="2159"/>
      <c r="AT146" s="2159"/>
      <c r="AU146" s="2159"/>
      <c r="AV146" s="2159"/>
      <c r="AW146" s="2159"/>
      <c r="AX146" s="2160"/>
      <c r="AY146" s="1190"/>
      <c r="AZ146" s="1190"/>
      <c r="BA146" s="1190"/>
      <c r="BB146" s="1190"/>
      <c r="BC146" s="1190"/>
      <c r="BD146" s="1190"/>
      <c r="BE146" s="1194"/>
    </row>
    <row r="147" spans="1:57" ht="15.75" customHeight="1">
      <c r="A147" s="1190"/>
      <c r="B147" s="2158"/>
      <c r="C147" s="2159"/>
      <c r="D147" s="2159"/>
      <c r="E147" s="2159"/>
      <c r="F147" s="2159"/>
      <c r="G147" s="2159"/>
      <c r="H147" s="2159"/>
      <c r="I147" s="2159"/>
      <c r="J147" s="2159"/>
      <c r="K147" s="2159"/>
      <c r="L147" s="2159"/>
      <c r="M147" s="2159"/>
      <c r="N147" s="2159"/>
      <c r="O147" s="2159"/>
      <c r="P147" s="2159"/>
      <c r="Q147" s="2159"/>
      <c r="R147" s="2159"/>
      <c r="S147" s="2159"/>
      <c r="T147" s="2159"/>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60"/>
      <c r="AY147" s="1190"/>
      <c r="AZ147" s="1190"/>
      <c r="BA147" s="1190"/>
      <c r="BB147" s="1190"/>
      <c r="BC147" s="1190"/>
      <c r="BD147" s="1190"/>
      <c r="BE147" s="1194"/>
    </row>
    <row r="148" spans="1:57" ht="15.75" customHeight="1">
      <c r="A148" s="1190"/>
      <c r="B148" s="2158"/>
      <c r="C148" s="2159"/>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c r="Y148" s="2159"/>
      <c r="Z148" s="2159"/>
      <c r="AA148" s="2159"/>
      <c r="AB148" s="2159"/>
      <c r="AC148" s="2159"/>
      <c r="AD148" s="2159"/>
      <c r="AE148" s="2159"/>
      <c r="AF148" s="2159"/>
      <c r="AG148" s="2159"/>
      <c r="AH148" s="2159"/>
      <c r="AI148" s="2159"/>
      <c r="AJ148" s="2159"/>
      <c r="AK148" s="2159"/>
      <c r="AL148" s="2159"/>
      <c r="AM148" s="2159"/>
      <c r="AN148" s="2159"/>
      <c r="AO148" s="2159"/>
      <c r="AP148" s="2159"/>
      <c r="AQ148" s="2159"/>
      <c r="AR148" s="2159"/>
      <c r="AS148" s="2159"/>
      <c r="AT148" s="2159"/>
      <c r="AU148" s="2159"/>
      <c r="AV148" s="2159"/>
      <c r="AW148" s="2159"/>
      <c r="AX148" s="2160"/>
      <c r="AY148" s="1190"/>
      <c r="AZ148" s="1190"/>
      <c r="BA148" s="1190"/>
      <c r="BB148" s="1190"/>
      <c r="BC148" s="1190"/>
      <c r="BD148" s="1190"/>
      <c r="BE148" s="1194"/>
    </row>
    <row r="149" spans="1:57" ht="15.75" customHeight="1">
      <c r="A149" s="1190"/>
      <c r="B149" s="2158"/>
      <c r="C149" s="2159"/>
      <c r="D149" s="2159"/>
      <c r="E149" s="2159"/>
      <c r="F149" s="2159"/>
      <c r="G149" s="2159"/>
      <c r="H149" s="2159"/>
      <c r="I149" s="2159"/>
      <c r="J149" s="2159"/>
      <c r="K149" s="2159"/>
      <c r="L149" s="2159"/>
      <c r="M149" s="2159"/>
      <c r="N149" s="2159"/>
      <c r="O149" s="2159"/>
      <c r="P149" s="2159"/>
      <c r="Q149" s="2159"/>
      <c r="R149" s="2159"/>
      <c r="S149" s="2159"/>
      <c r="T149" s="2159"/>
      <c r="U149" s="2159"/>
      <c r="V149" s="2159"/>
      <c r="W149" s="2159"/>
      <c r="X149" s="2159"/>
      <c r="Y149" s="2159"/>
      <c r="Z149" s="2159"/>
      <c r="AA149" s="2159"/>
      <c r="AB149" s="2159"/>
      <c r="AC149" s="2159"/>
      <c r="AD149" s="2159"/>
      <c r="AE149" s="2159"/>
      <c r="AF149" s="2159"/>
      <c r="AG149" s="2159"/>
      <c r="AH149" s="2159"/>
      <c r="AI149" s="2159"/>
      <c r="AJ149" s="2159"/>
      <c r="AK149" s="2159"/>
      <c r="AL149" s="2159"/>
      <c r="AM149" s="2159"/>
      <c r="AN149" s="2159"/>
      <c r="AO149" s="2159"/>
      <c r="AP149" s="2159"/>
      <c r="AQ149" s="2159"/>
      <c r="AR149" s="2159"/>
      <c r="AS149" s="2159"/>
      <c r="AT149" s="2159"/>
      <c r="AU149" s="2159"/>
      <c r="AV149" s="2159"/>
      <c r="AW149" s="2159"/>
      <c r="AX149" s="2160"/>
      <c r="AY149" s="1190"/>
      <c r="AZ149" s="1190"/>
      <c r="BA149" s="1190"/>
      <c r="BB149" s="1190"/>
      <c r="BC149" s="1190"/>
      <c r="BD149" s="1190"/>
      <c r="BE149" s="1194"/>
    </row>
    <row r="150" spans="1:57" ht="15.75" customHeight="1">
      <c r="A150" s="1190"/>
      <c r="B150" s="2158"/>
      <c r="C150" s="2159"/>
      <c r="D150" s="2159"/>
      <c r="E150" s="2159"/>
      <c r="F150" s="2159"/>
      <c r="G150" s="2159"/>
      <c r="H150" s="2159"/>
      <c r="I150" s="2159"/>
      <c r="J150" s="2159"/>
      <c r="K150" s="2159"/>
      <c r="L150" s="2159"/>
      <c r="M150" s="2159"/>
      <c r="N150" s="2159"/>
      <c r="O150" s="2159"/>
      <c r="P150" s="2159"/>
      <c r="Q150" s="2159"/>
      <c r="R150" s="2159"/>
      <c r="S150" s="2159"/>
      <c r="T150" s="2159"/>
      <c r="U150" s="2159"/>
      <c r="V150" s="2159"/>
      <c r="W150" s="2159"/>
      <c r="X150" s="2159"/>
      <c r="Y150" s="2159"/>
      <c r="Z150" s="2159"/>
      <c r="AA150" s="2159"/>
      <c r="AB150" s="2159"/>
      <c r="AC150" s="2159"/>
      <c r="AD150" s="2159"/>
      <c r="AE150" s="2159"/>
      <c r="AF150" s="2159"/>
      <c r="AG150" s="2159"/>
      <c r="AH150" s="2159"/>
      <c r="AI150" s="2159"/>
      <c r="AJ150" s="2159"/>
      <c r="AK150" s="2159"/>
      <c r="AL150" s="2159"/>
      <c r="AM150" s="2159"/>
      <c r="AN150" s="2159"/>
      <c r="AO150" s="2159"/>
      <c r="AP150" s="2159"/>
      <c r="AQ150" s="2159"/>
      <c r="AR150" s="2159"/>
      <c r="AS150" s="2159"/>
      <c r="AT150" s="2159"/>
      <c r="AU150" s="2159"/>
      <c r="AV150" s="2159"/>
      <c r="AW150" s="2159"/>
      <c r="AX150" s="2160"/>
      <c r="AY150" s="1190"/>
      <c r="AZ150" s="1190"/>
      <c r="BA150" s="1190"/>
      <c r="BB150" s="1190"/>
      <c r="BC150" s="1190"/>
      <c r="BD150" s="1190"/>
      <c r="BE150" s="1194"/>
    </row>
    <row r="151" spans="1:57" ht="15.75" customHeight="1">
      <c r="A151" s="1190"/>
      <c r="B151" s="2158"/>
      <c r="C151" s="2159"/>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c r="Y151" s="2159"/>
      <c r="Z151" s="2159"/>
      <c r="AA151" s="2159"/>
      <c r="AB151" s="2159"/>
      <c r="AC151" s="2159"/>
      <c r="AD151" s="2159"/>
      <c r="AE151" s="2159"/>
      <c r="AF151" s="2159"/>
      <c r="AG151" s="2159"/>
      <c r="AH151" s="2159"/>
      <c r="AI151" s="2159"/>
      <c r="AJ151" s="2159"/>
      <c r="AK151" s="2159"/>
      <c r="AL151" s="2159"/>
      <c r="AM151" s="2159"/>
      <c r="AN151" s="2159"/>
      <c r="AO151" s="2159"/>
      <c r="AP151" s="2159"/>
      <c r="AQ151" s="2159"/>
      <c r="AR151" s="2159"/>
      <c r="AS151" s="2159"/>
      <c r="AT151" s="2159"/>
      <c r="AU151" s="2159"/>
      <c r="AV151" s="2159"/>
      <c r="AW151" s="2159"/>
      <c r="AX151" s="2160"/>
      <c r="AY151" s="1190"/>
      <c r="AZ151" s="1190"/>
      <c r="BA151" s="1190"/>
      <c r="BB151" s="1190"/>
      <c r="BC151" s="1190"/>
      <c r="BD151" s="1190"/>
      <c r="BE151" s="1194"/>
    </row>
    <row r="152" spans="1:57" ht="15.75" customHeight="1" thickBot="1">
      <c r="A152" s="1190"/>
      <c r="B152" s="2161"/>
      <c r="C152" s="2162"/>
      <c r="D152" s="2162"/>
      <c r="E152" s="2162"/>
      <c r="F152" s="2162"/>
      <c r="G152" s="2162"/>
      <c r="H152" s="2162"/>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62"/>
      <c r="AD152" s="2162"/>
      <c r="AE152" s="2162"/>
      <c r="AF152" s="2162"/>
      <c r="AG152" s="2162"/>
      <c r="AH152" s="2162"/>
      <c r="AI152" s="2162"/>
      <c r="AJ152" s="2162"/>
      <c r="AK152" s="2162"/>
      <c r="AL152" s="2162"/>
      <c r="AM152" s="2162"/>
      <c r="AN152" s="2162"/>
      <c r="AO152" s="2162"/>
      <c r="AP152" s="2162"/>
      <c r="AQ152" s="2162"/>
      <c r="AR152" s="2162"/>
      <c r="AS152" s="2162"/>
      <c r="AT152" s="2162"/>
      <c r="AU152" s="2162"/>
      <c r="AV152" s="2162"/>
      <c r="AW152" s="2162"/>
      <c r="AX152" s="216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21" t="s">
        <v>2350</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21" t="s">
        <v>2349</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6"/>
      <c r="C157" s="2167"/>
      <c r="D157" s="2167"/>
      <c r="E157" s="2167"/>
      <c r="F157" s="2167"/>
      <c r="G157" s="2167"/>
      <c r="H157" s="2167"/>
      <c r="I157" s="2168" t="s">
        <v>2347</v>
      </c>
      <c r="J157" s="2168"/>
      <c r="K157" s="2168"/>
      <c r="L157" s="2168"/>
      <c r="M157" s="2168"/>
      <c r="N157" s="2168"/>
      <c r="O157" s="2168"/>
      <c r="P157" s="2168" t="s">
        <v>2348</v>
      </c>
      <c r="Q157" s="2168"/>
      <c r="R157" s="2168"/>
      <c r="S157" s="2168"/>
      <c r="T157" s="2168"/>
      <c r="U157" s="2169"/>
      <c r="V157" s="1190"/>
      <c r="W157" s="1190"/>
      <c r="X157" s="2166"/>
      <c r="Y157" s="2167"/>
      <c r="Z157" s="2167"/>
      <c r="AA157" s="2167"/>
      <c r="AB157" s="2167"/>
      <c r="AC157" s="2167"/>
      <c r="AD157" s="2167"/>
      <c r="AE157" s="2168" t="s">
        <v>2347</v>
      </c>
      <c r="AF157" s="2168"/>
      <c r="AG157" s="2168"/>
      <c r="AH157" s="2168"/>
      <c r="AI157" s="2168"/>
      <c r="AJ157" s="2168"/>
      <c r="AK157" s="2168"/>
      <c r="AL157" s="2168" t="s">
        <v>2346</v>
      </c>
      <c r="AM157" s="2168"/>
      <c r="AN157" s="2168"/>
      <c r="AO157" s="2168"/>
      <c r="AP157" s="2168"/>
      <c r="AQ157" s="216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6"/>
      <c r="C158" s="2167"/>
      <c r="D158" s="2167"/>
      <c r="E158" s="2167"/>
      <c r="F158" s="2167"/>
      <c r="G158" s="2167"/>
      <c r="H158" s="2167"/>
      <c r="I158" s="2168"/>
      <c r="J158" s="2168"/>
      <c r="K158" s="2168"/>
      <c r="L158" s="2168"/>
      <c r="M158" s="2168"/>
      <c r="N158" s="2168"/>
      <c r="O158" s="2168"/>
      <c r="P158" s="2168"/>
      <c r="Q158" s="2168"/>
      <c r="R158" s="2168"/>
      <c r="S158" s="2168"/>
      <c r="T158" s="2168"/>
      <c r="U158" s="2169"/>
      <c r="V158" s="1190"/>
      <c r="W158" s="1190"/>
      <c r="X158" s="2166"/>
      <c r="Y158" s="2167"/>
      <c r="Z158" s="2167"/>
      <c r="AA158" s="2167"/>
      <c r="AB158" s="2167"/>
      <c r="AC158" s="2167"/>
      <c r="AD158" s="2167"/>
      <c r="AE158" s="2168"/>
      <c r="AF158" s="2168"/>
      <c r="AG158" s="2168"/>
      <c r="AH158" s="2168"/>
      <c r="AI158" s="2168"/>
      <c r="AJ158" s="2168"/>
      <c r="AK158" s="2168"/>
      <c r="AL158" s="2168"/>
      <c r="AM158" s="2168"/>
      <c r="AN158" s="2168"/>
      <c r="AO158" s="2168"/>
      <c r="AP158" s="2168"/>
      <c r="AQ158" s="216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24" t="s">
        <v>2345</v>
      </c>
      <c r="C159" s="2125"/>
      <c r="D159" s="2125"/>
      <c r="E159" s="2125"/>
      <c r="F159" s="2125"/>
      <c r="G159" s="2125"/>
      <c r="H159" s="2125"/>
      <c r="I159" s="2101">
        <v>0</v>
      </c>
      <c r="J159" s="2101"/>
      <c r="K159" s="2101"/>
      <c r="L159" s="2101"/>
      <c r="M159" s="2101"/>
      <c r="N159" s="2101"/>
      <c r="O159" s="2101"/>
      <c r="P159" s="2101">
        <v>0</v>
      </c>
      <c r="Q159" s="2101"/>
      <c r="R159" s="2101"/>
      <c r="S159" s="2101"/>
      <c r="T159" s="2101"/>
      <c r="U159" s="2102"/>
      <c r="V159" s="1190"/>
      <c r="W159" s="1190"/>
      <c r="X159" s="2126" t="s">
        <v>2345</v>
      </c>
      <c r="Y159" s="2127"/>
      <c r="Z159" s="2127"/>
      <c r="AA159" s="2127"/>
      <c r="AB159" s="2127"/>
      <c r="AC159" s="2127"/>
      <c r="AD159" s="2127"/>
      <c r="AE159" s="2116">
        <v>0</v>
      </c>
      <c r="AF159" s="2116"/>
      <c r="AG159" s="2116"/>
      <c r="AH159" s="2116"/>
      <c r="AI159" s="2116"/>
      <c r="AJ159" s="2116"/>
      <c r="AK159" s="2116"/>
      <c r="AL159" s="2116">
        <v>0</v>
      </c>
      <c r="AM159" s="2116"/>
      <c r="AN159" s="2116"/>
      <c r="AO159" s="2116"/>
      <c r="AP159" s="2116"/>
      <c r="AQ159" s="211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6" t="s">
        <v>2344</v>
      </c>
      <c r="C160" s="2127"/>
      <c r="D160" s="2127"/>
      <c r="E160" s="2127"/>
      <c r="F160" s="2127"/>
      <c r="G160" s="2127"/>
      <c r="H160" s="2127"/>
      <c r="I160" s="2116">
        <v>0</v>
      </c>
      <c r="J160" s="2116"/>
      <c r="K160" s="2116"/>
      <c r="L160" s="2116"/>
      <c r="M160" s="2116"/>
      <c r="N160" s="2116"/>
      <c r="O160" s="2116"/>
      <c r="P160" s="2116">
        <v>0</v>
      </c>
      <c r="Q160" s="2116"/>
      <c r="R160" s="2116"/>
      <c r="S160" s="2116"/>
      <c r="T160" s="2116"/>
      <c r="U160" s="211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21" t="s">
        <v>2343</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6" t="s">
        <v>2328</v>
      </c>
      <c r="D163" s="2167"/>
      <c r="E163" s="2167"/>
      <c r="F163" s="2167"/>
      <c r="G163" s="2167"/>
      <c r="H163" s="2167"/>
      <c r="I163" s="2167"/>
      <c r="J163" s="2167"/>
      <c r="K163" s="2167"/>
      <c r="L163" s="2167"/>
      <c r="M163" s="2167"/>
      <c r="N163" s="2167"/>
      <c r="O163" s="2167"/>
      <c r="P163" s="2167"/>
      <c r="Q163" s="2167" t="s">
        <v>2342</v>
      </c>
      <c r="R163" s="2167"/>
      <c r="S163" s="2167"/>
      <c r="T163" s="2112" t="s">
        <v>2341</v>
      </c>
      <c r="U163" s="2112"/>
      <c r="V163" s="2112"/>
      <c r="W163" s="2112"/>
      <c r="X163" s="2112"/>
      <c r="Y163" s="2112"/>
      <c r="Z163" s="2112"/>
      <c r="AA163" s="2112"/>
      <c r="AB163" s="2167" t="s">
        <v>2340</v>
      </c>
      <c r="AC163" s="2167"/>
      <c r="AD163" s="2167"/>
      <c r="AE163" s="2167"/>
      <c r="AF163" s="2167"/>
      <c r="AG163" s="217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70" t="s">
        <v>2339</v>
      </c>
      <c r="D164" s="2171"/>
      <c r="E164" s="2171"/>
      <c r="F164" s="2171"/>
      <c r="G164" s="2171"/>
      <c r="H164" s="2171"/>
      <c r="I164" s="2171"/>
      <c r="J164" s="2171"/>
      <c r="K164" s="2171"/>
      <c r="L164" s="2171"/>
      <c r="M164" s="2171"/>
      <c r="N164" s="2171"/>
      <c r="O164" s="2171"/>
      <c r="P164" s="2171"/>
      <c r="Q164" s="2172">
        <v>55</v>
      </c>
      <c r="R164" s="2172"/>
      <c r="S164" s="2172"/>
      <c r="T164" s="2173"/>
      <c r="U164" s="2173"/>
      <c r="V164" s="2173"/>
      <c r="W164" s="2173"/>
      <c r="X164" s="2173"/>
      <c r="Y164" s="2173"/>
      <c r="Z164" s="2173"/>
      <c r="AA164" s="217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70" t="s">
        <v>2338</v>
      </c>
      <c r="D165" s="2171"/>
      <c r="E165" s="2171"/>
      <c r="F165" s="2171"/>
      <c r="G165" s="2171"/>
      <c r="H165" s="2171"/>
      <c r="I165" s="2171"/>
      <c r="J165" s="2171"/>
      <c r="K165" s="2171"/>
      <c r="L165" s="2171"/>
      <c r="M165" s="2171"/>
      <c r="N165" s="2171"/>
      <c r="O165" s="2171"/>
      <c r="P165" s="2171"/>
      <c r="Q165" s="2172">
        <v>55</v>
      </c>
      <c r="R165" s="2172"/>
      <c r="S165" s="2172"/>
      <c r="T165" s="2174"/>
      <c r="U165" s="2174"/>
      <c r="V165" s="2174"/>
      <c r="W165" s="2174"/>
      <c r="X165" s="2174"/>
      <c r="Y165" s="2174"/>
      <c r="Z165" s="2174"/>
      <c r="AA165" s="217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70" t="s">
        <v>2337</v>
      </c>
      <c r="D166" s="2171"/>
      <c r="E166" s="2171"/>
      <c r="F166" s="2171"/>
      <c r="G166" s="2171"/>
      <c r="H166" s="2171"/>
      <c r="I166" s="2171"/>
      <c r="J166" s="2171"/>
      <c r="K166" s="2171"/>
      <c r="L166" s="2171"/>
      <c r="M166" s="2171"/>
      <c r="N166" s="2171"/>
      <c r="O166" s="2171"/>
      <c r="P166" s="2171"/>
      <c r="Q166" s="2172">
        <v>55</v>
      </c>
      <c r="R166" s="2172"/>
      <c r="S166" s="2172"/>
      <c r="T166" s="2173"/>
      <c r="U166" s="2173"/>
      <c r="V166" s="2173"/>
      <c r="W166" s="2173"/>
      <c r="X166" s="2173"/>
      <c r="Y166" s="2173"/>
      <c r="Z166" s="2173"/>
      <c r="AA166" s="217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70" t="s">
        <v>2336</v>
      </c>
      <c r="D167" s="2171"/>
      <c r="E167" s="2171"/>
      <c r="F167" s="2171"/>
      <c r="G167" s="2171"/>
      <c r="H167" s="2171"/>
      <c r="I167" s="2171"/>
      <c r="J167" s="2171"/>
      <c r="K167" s="2171"/>
      <c r="L167" s="2171"/>
      <c r="M167" s="2171"/>
      <c r="N167" s="2171"/>
      <c r="O167" s="2171"/>
      <c r="P167" s="2171"/>
      <c r="Q167" s="2172">
        <v>55</v>
      </c>
      <c r="R167" s="2172"/>
      <c r="S167" s="2172"/>
      <c r="T167" s="2173"/>
      <c r="U167" s="2173"/>
      <c r="V167" s="2173"/>
      <c r="W167" s="2173"/>
      <c r="X167" s="2173"/>
      <c r="Y167" s="2173"/>
      <c r="Z167" s="2173"/>
      <c r="AA167" s="2173"/>
      <c r="AB167" s="2176">
        <v>0</v>
      </c>
      <c r="AC167" s="2176"/>
      <c r="AD167" s="2176"/>
      <c r="AE167" s="2176"/>
      <c r="AF167" s="2176"/>
      <c r="AG167" s="217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70" t="s">
        <v>170</v>
      </c>
      <c r="D168" s="2171"/>
      <c r="E168" s="2171"/>
      <c r="F168" s="2178" t="s">
        <v>2317</v>
      </c>
      <c r="G168" s="2178"/>
      <c r="H168" s="2178"/>
      <c r="I168" s="2178"/>
      <c r="J168" s="2178"/>
      <c r="K168" s="2178"/>
      <c r="L168" s="2178"/>
      <c r="M168" s="2178"/>
      <c r="N168" s="2178"/>
      <c r="O168" s="2178"/>
      <c r="P168" s="2178"/>
      <c r="Q168" s="2172">
        <v>55</v>
      </c>
      <c r="R168" s="2172"/>
      <c r="S168" s="2172"/>
      <c r="T168" s="2174"/>
      <c r="U168" s="2174"/>
      <c r="V168" s="2174"/>
      <c r="W168" s="2174"/>
      <c r="X168" s="2174"/>
      <c r="Y168" s="2174"/>
      <c r="Z168" s="2174"/>
      <c r="AA168" s="2174"/>
      <c r="AB168" s="2176">
        <v>0</v>
      </c>
      <c r="AC168" s="2176"/>
      <c r="AD168" s="2176"/>
      <c r="AE168" s="2176"/>
      <c r="AF168" s="2176"/>
      <c r="AG168" s="217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70" t="s">
        <v>170</v>
      </c>
      <c r="D169" s="2171"/>
      <c r="E169" s="2171"/>
      <c r="F169" s="2178" t="s">
        <v>2317</v>
      </c>
      <c r="G169" s="2178"/>
      <c r="H169" s="2178"/>
      <c r="I169" s="2178"/>
      <c r="J169" s="2178"/>
      <c r="K169" s="2178"/>
      <c r="L169" s="2178"/>
      <c r="M169" s="2178"/>
      <c r="N169" s="2178"/>
      <c r="O169" s="2178"/>
      <c r="P169" s="2178"/>
      <c r="Q169" s="2172">
        <v>55</v>
      </c>
      <c r="R169" s="2172"/>
      <c r="S169" s="2172"/>
      <c r="T169" s="2174"/>
      <c r="U169" s="2174"/>
      <c r="V169" s="2174"/>
      <c r="W169" s="2174"/>
      <c r="X169" s="2174"/>
      <c r="Y169" s="2174"/>
      <c r="Z169" s="2174"/>
      <c r="AA169" s="2174"/>
      <c r="AB169" s="2176">
        <v>0</v>
      </c>
      <c r="AC169" s="2176"/>
      <c r="AD169" s="2176"/>
      <c r="AE169" s="2176"/>
      <c r="AF169" s="2176"/>
      <c r="AG169" s="217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9" t="s">
        <v>170</v>
      </c>
      <c r="D170" s="2180"/>
      <c r="E170" s="2180"/>
      <c r="F170" s="2181" t="s">
        <v>2317</v>
      </c>
      <c r="G170" s="2181"/>
      <c r="H170" s="2181"/>
      <c r="I170" s="2181"/>
      <c r="J170" s="2181"/>
      <c r="K170" s="2181"/>
      <c r="L170" s="2181"/>
      <c r="M170" s="2181"/>
      <c r="N170" s="2181"/>
      <c r="O170" s="2181"/>
      <c r="P170" s="2181"/>
      <c r="Q170" s="2182">
        <v>55</v>
      </c>
      <c r="R170" s="2182"/>
      <c r="S170" s="2182"/>
      <c r="T170" s="2183"/>
      <c r="U170" s="2183"/>
      <c r="V170" s="2183"/>
      <c r="W170" s="2183"/>
      <c r="X170" s="2183"/>
      <c r="Y170" s="2183"/>
      <c r="Z170" s="2183"/>
      <c r="AA170" s="2183"/>
      <c r="AB170" s="2184">
        <v>0</v>
      </c>
      <c r="AC170" s="2184"/>
      <c r="AD170" s="2184"/>
      <c r="AE170" s="2184"/>
      <c r="AF170" s="2184"/>
      <c r="AG170" s="218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70" t="s">
        <v>2335</v>
      </c>
      <c r="D172" s="2071"/>
      <c r="E172" s="2071"/>
      <c r="F172" s="2071"/>
      <c r="G172" s="2071"/>
      <c r="H172" s="2071"/>
      <c r="I172" s="2071"/>
      <c r="J172" s="2071"/>
      <c r="K172" s="2071"/>
      <c r="L172" s="2071"/>
      <c r="M172" s="2071"/>
      <c r="N172" s="2121"/>
      <c r="O172" s="1190"/>
      <c r="P172" s="2186" t="s">
        <v>2334</v>
      </c>
      <c r="Q172" s="2187"/>
      <c r="R172" s="2187"/>
      <c r="S172" s="2187"/>
      <c r="T172" s="2187"/>
      <c r="U172" s="2187"/>
      <c r="V172" s="2187"/>
      <c r="W172" s="2187"/>
      <c r="X172" s="2187"/>
      <c r="Y172" s="2187"/>
      <c r="Z172" s="2187"/>
      <c r="AA172" s="2187"/>
      <c r="AB172" s="2187"/>
      <c r="AC172" s="2187"/>
      <c r="AD172" s="2187"/>
      <c r="AE172" s="2187"/>
      <c r="AF172" s="2187"/>
      <c r="AG172" s="2187"/>
      <c r="AH172" s="2187"/>
      <c r="AI172" s="2187"/>
      <c r="AJ172" s="2187"/>
      <c r="AK172" s="2187"/>
      <c r="AL172" s="2187"/>
      <c r="AM172" s="2187"/>
      <c r="AN172" s="2187"/>
      <c r="AO172" s="218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6" t="s">
        <v>2333</v>
      </c>
      <c r="D173" s="2167"/>
      <c r="E173" s="2167"/>
      <c r="F173" s="2167"/>
      <c r="G173" s="2167"/>
      <c r="H173" s="2167"/>
      <c r="I173" s="2167" t="s">
        <v>2332</v>
      </c>
      <c r="J173" s="2167"/>
      <c r="K173" s="2167"/>
      <c r="L173" s="2167"/>
      <c r="M173" s="2167"/>
      <c r="N173" s="2175"/>
      <c r="O173" s="1190"/>
      <c r="P173" s="2090" t="s">
        <v>2331</v>
      </c>
      <c r="Q173" s="2091"/>
      <c r="R173" s="2091"/>
      <c r="S173" s="2091"/>
      <c r="T173" s="2091"/>
      <c r="U173" s="2091"/>
      <c r="V173" s="2091"/>
      <c r="W173" s="2091"/>
      <c r="X173" s="2091"/>
      <c r="Y173" s="2091"/>
      <c r="Z173" s="2091"/>
      <c r="AA173" s="2091"/>
      <c r="AB173" s="2091"/>
      <c r="AC173" s="2091"/>
      <c r="AD173" s="2091"/>
      <c r="AE173" s="2091"/>
      <c r="AF173" s="2091"/>
      <c r="AG173" s="2091"/>
      <c r="AH173" s="2091"/>
      <c r="AI173" s="2091"/>
      <c r="AJ173" s="2091"/>
      <c r="AK173" s="2091"/>
      <c r="AL173" s="2091"/>
      <c r="AM173" s="2091"/>
      <c r="AN173" s="2091"/>
      <c r="AO173" s="209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6"/>
      <c r="D174" s="2028"/>
      <c r="E174" s="2028"/>
      <c r="F174" s="2028"/>
      <c r="G174" s="2028"/>
      <c r="H174" s="2028"/>
      <c r="I174" s="2173"/>
      <c r="J174" s="2173"/>
      <c r="K174" s="2173"/>
      <c r="L174" s="2173"/>
      <c r="M174" s="2173"/>
      <c r="N174" s="2189"/>
      <c r="O174" s="1190"/>
      <c r="P174" s="2090"/>
      <c r="Q174" s="2091"/>
      <c r="R174" s="2091"/>
      <c r="S174" s="2091"/>
      <c r="T174" s="2091"/>
      <c r="U174" s="2091"/>
      <c r="V174" s="2091"/>
      <c r="W174" s="2091"/>
      <c r="X174" s="2091"/>
      <c r="Y174" s="2091"/>
      <c r="Z174" s="2091"/>
      <c r="AA174" s="2091"/>
      <c r="AB174" s="2091"/>
      <c r="AC174" s="2091"/>
      <c r="AD174" s="2091"/>
      <c r="AE174" s="2091"/>
      <c r="AF174" s="2091"/>
      <c r="AG174" s="2091"/>
      <c r="AH174" s="2091"/>
      <c r="AI174" s="2091"/>
      <c r="AJ174" s="2091"/>
      <c r="AK174" s="2091"/>
      <c r="AL174" s="2091"/>
      <c r="AM174" s="2091"/>
      <c r="AN174" s="2091"/>
      <c r="AO174" s="209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6"/>
      <c r="D175" s="2028"/>
      <c r="E175" s="2028"/>
      <c r="F175" s="2028"/>
      <c r="G175" s="2028"/>
      <c r="H175" s="2028"/>
      <c r="I175" s="2173"/>
      <c r="J175" s="2173"/>
      <c r="K175" s="2173"/>
      <c r="L175" s="2173"/>
      <c r="M175" s="2173"/>
      <c r="N175" s="2189"/>
      <c r="O175" s="1190"/>
      <c r="P175" s="2090"/>
      <c r="Q175" s="2091"/>
      <c r="R175" s="2091"/>
      <c r="S175" s="2091"/>
      <c r="T175" s="2091"/>
      <c r="U175" s="2091"/>
      <c r="V175" s="2091"/>
      <c r="W175" s="2091"/>
      <c r="X175" s="2091"/>
      <c r="Y175" s="2091"/>
      <c r="Z175" s="2091"/>
      <c r="AA175" s="2091"/>
      <c r="AB175" s="2091"/>
      <c r="AC175" s="2091"/>
      <c r="AD175" s="2091"/>
      <c r="AE175" s="2091"/>
      <c r="AF175" s="2091"/>
      <c r="AG175" s="2091"/>
      <c r="AH175" s="2091"/>
      <c r="AI175" s="2091"/>
      <c r="AJ175" s="2091"/>
      <c r="AK175" s="2091"/>
      <c r="AL175" s="2091"/>
      <c r="AM175" s="2091"/>
      <c r="AN175" s="2091"/>
      <c r="AO175" s="209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6"/>
      <c r="D176" s="2028"/>
      <c r="E176" s="2028"/>
      <c r="F176" s="2028"/>
      <c r="G176" s="2028"/>
      <c r="H176" s="2028"/>
      <c r="I176" s="2173"/>
      <c r="J176" s="2173"/>
      <c r="K176" s="2173"/>
      <c r="L176" s="2173"/>
      <c r="M176" s="2173"/>
      <c r="N176" s="2189"/>
      <c r="O176" s="1190"/>
      <c r="P176" s="2090"/>
      <c r="Q176" s="2091"/>
      <c r="R176" s="2091"/>
      <c r="S176" s="2091"/>
      <c r="T176" s="2091"/>
      <c r="U176" s="2091"/>
      <c r="V176" s="2091"/>
      <c r="W176" s="2091"/>
      <c r="X176" s="2091"/>
      <c r="Y176" s="2091"/>
      <c r="Z176" s="2091"/>
      <c r="AA176" s="2091"/>
      <c r="AB176" s="2091"/>
      <c r="AC176" s="2091"/>
      <c r="AD176" s="2091"/>
      <c r="AE176" s="2091"/>
      <c r="AF176" s="2091"/>
      <c r="AG176" s="2091"/>
      <c r="AH176" s="2091"/>
      <c r="AI176" s="2091"/>
      <c r="AJ176" s="2091"/>
      <c r="AK176" s="2091"/>
      <c r="AL176" s="2091"/>
      <c r="AM176" s="2091"/>
      <c r="AN176" s="2091"/>
      <c r="AO176" s="209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6"/>
      <c r="D177" s="2028"/>
      <c r="E177" s="2028"/>
      <c r="F177" s="2028"/>
      <c r="G177" s="2028"/>
      <c r="H177" s="2028"/>
      <c r="I177" s="2173"/>
      <c r="J177" s="2173"/>
      <c r="K177" s="2173"/>
      <c r="L177" s="2173"/>
      <c r="M177" s="2173"/>
      <c r="N177" s="2189"/>
      <c r="O177" s="1190"/>
      <c r="P177" s="2090"/>
      <c r="Q177" s="2091"/>
      <c r="R177" s="2091"/>
      <c r="S177" s="2091"/>
      <c r="T177" s="2091"/>
      <c r="U177" s="2091"/>
      <c r="V177" s="2091"/>
      <c r="W177" s="2091"/>
      <c r="X177" s="2091"/>
      <c r="Y177" s="2091"/>
      <c r="Z177" s="2091"/>
      <c r="AA177" s="2091"/>
      <c r="AB177" s="2091"/>
      <c r="AC177" s="2091"/>
      <c r="AD177" s="2091"/>
      <c r="AE177" s="2091"/>
      <c r="AF177" s="2091"/>
      <c r="AG177" s="2091"/>
      <c r="AH177" s="2091"/>
      <c r="AI177" s="2091"/>
      <c r="AJ177" s="2091"/>
      <c r="AK177" s="2091"/>
      <c r="AL177" s="2091"/>
      <c r="AM177" s="2091"/>
      <c r="AN177" s="2091"/>
      <c r="AO177" s="209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6"/>
      <c r="D178" s="2028"/>
      <c r="E178" s="2028"/>
      <c r="F178" s="2028"/>
      <c r="G178" s="2028"/>
      <c r="H178" s="2028"/>
      <c r="I178" s="2173"/>
      <c r="J178" s="2173"/>
      <c r="K178" s="2173"/>
      <c r="L178" s="2173"/>
      <c r="M178" s="2173"/>
      <c r="N178" s="2189"/>
      <c r="O178" s="1190"/>
      <c r="P178" s="2090"/>
      <c r="Q178" s="2091"/>
      <c r="R178" s="2091"/>
      <c r="S178" s="2091"/>
      <c r="T178" s="2091"/>
      <c r="U178" s="2091"/>
      <c r="V178" s="2091"/>
      <c r="W178" s="2091"/>
      <c r="X178" s="2091"/>
      <c r="Y178" s="2091"/>
      <c r="Z178" s="2091"/>
      <c r="AA178" s="2091"/>
      <c r="AB178" s="2091"/>
      <c r="AC178" s="2091"/>
      <c r="AD178" s="2091"/>
      <c r="AE178" s="2091"/>
      <c r="AF178" s="2091"/>
      <c r="AG178" s="2091"/>
      <c r="AH178" s="2091"/>
      <c r="AI178" s="2091"/>
      <c r="AJ178" s="2091"/>
      <c r="AK178" s="2091"/>
      <c r="AL178" s="2091"/>
      <c r="AM178" s="2091"/>
      <c r="AN178" s="2091"/>
      <c r="AO178" s="209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6"/>
      <c r="D179" s="2028"/>
      <c r="E179" s="2028"/>
      <c r="F179" s="2028"/>
      <c r="G179" s="2028"/>
      <c r="H179" s="2028"/>
      <c r="I179" s="2173"/>
      <c r="J179" s="2173"/>
      <c r="K179" s="2173"/>
      <c r="L179" s="2173"/>
      <c r="M179" s="2173"/>
      <c r="N179" s="2189"/>
      <c r="O179" s="1190"/>
      <c r="P179" s="2090"/>
      <c r="Q179" s="2091"/>
      <c r="R179" s="2091"/>
      <c r="S179" s="2091"/>
      <c r="T179" s="2091"/>
      <c r="U179" s="2091"/>
      <c r="V179" s="2091"/>
      <c r="W179" s="2091"/>
      <c r="X179" s="2091"/>
      <c r="Y179" s="2091"/>
      <c r="Z179" s="2091"/>
      <c r="AA179" s="2091"/>
      <c r="AB179" s="2091"/>
      <c r="AC179" s="2091"/>
      <c r="AD179" s="2091"/>
      <c r="AE179" s="2091"/>
      <c r="AF179" s="2091"/>
      <c r="AG179" s="2091"/>
      <c r="AH179" s="2091"/>
      <c r="AI179" s="2091"/>
      <c r="AJ179" s="2091"/>
      <c r="AK179" s="2091"/>
      <c r="AL179" s="2091"/>
      <c r="AM179" s="2091"/>
      <c r="AN179" s="2091"/>
      <c r="AO179" s="209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90"/>
      <c r="D180" s="2191"/>
      <c r="E180" s="2191"/>
      <c r="F180" s="2191"/>
      <c r="G180" s="2191"/>
      <c r="H180" s="2191"/>
      <c r="I180" s="2192"/>
      <c r="J180" s="2192"/>
      <c r="K180" s="2192"/>
      <c r="L180" s="2192"/>
      <c r="M180" s="2192"/>
      <c r="N180" s="2193"/>
      <c r="O180" s="1190"/>
      <c r="P180" s="2093"/>
      <c r="Q180" s="2094"/>
      <c r="R180" s="2094"/>
      <c r="S180" s="2094"/>
      <c r="T180" s="2094"/>
      <c r="U180" s="2094"/>
      <c r="V180" s="2094"/>
      <c r="W180" s="2094"/>
      <c r="X180" s="2094"/>
      <c r="Y180" s="2094"/>
      <c r="Z180" s="2094"/>
      <c r="AA180" s="2094"/>
      <c r="AB180" s="2094"/>
      <c r="AC180" s="2094"/>
      <c r="AD180" s="2094"/>
      <c r="AE180" s="2094"/>
      <c r="AF180" s="2094"/>
      <c r="AG180" s="2094"/>
      <c r="AH180" s="2094"/>
      <c r="AI180" s="2094"/>
      <c r="AJ180" s="2094"/>
      <c r="AK180" s="2094"/>
      <c r="AL180" s="2094"/>
      <c r="AM180" s="2094"/>
      <c r="AN180" s="2094"/>
      <c r="AO180" s="209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7" t="s">
        <v>2330</v>
      </c>
      <c r="D182" s="2198"/>
      <c r="E182" s="2198"/>
      <c r="F182" s="2198"/>
      <c r="G182" s="2198"/>
      <c r="H182" s="2198"/>
      <c r="I182" s="2198"/>
      <c r="J182" s="2198"/>
      <c r="K182" s="2198"/>
      <c r="L182" s="2198"/>
      <c r="M182" s="2198"/>
      <c r="N182" s="2198"/>
      <c r="O182" s="2198"/>
      <c r="P182" s="2198"/>
      <c r="Q182" s="2198"/>
      <c r="R182" s="2198"/>
      <c r="S182" s="2198"/>
      <c r="T182" s="2198"/>
      <c r="U182" s="2198"/>
      <c r="V182" s="2198"/>
      <c r="W182" s="2198"/>
      <c r="X182" s="2198"/>
      <c r="Y182" s="2198"/>
      <c r="Z182" s="2198"/>
      <c r="AA182" s="2198"/>
      <c r="AB182" s="2198"/>
      <c r="AC182" s="2198"/>
      <c r="AD182" s="2198"/>
      <c r="AE182" s="2199"/>
      <c r="AF182" s="1190"/>
      <c r="AG182" s="1190"/>
      <c r="AH182" s="2207"/>
      <c r="AI182" s="2207"/>
      <c r="AJ182" s="2207"/>
      <c r="AK182" s="2207"/>
      <c r="AL182" s="2207"/>
      <c r="AM182" s="2207"/>
      <c r="AN182" s="2207"/>
      <c r="AO182" s="2207"/>
      <c r="AP182" s="2207"/>
      <c r="AQ182" s="2207"/>
      <c r="AR182" s="2207"/>
      <c r="AS182" s="2207"/>
      <c r="AT182" s="2207"/>
      <c r="AU182" s="2207"/>
      <c r="AV182" s="2207"/>
      <c r="AW182" s="2207"/>
      <c r="AX182" s="2207"/>
      <c r="AY182" s="2207"/>
      <c r="AZ182" s="2207"/>
      <c r="BA182" s="2207"/>
      <c r="BB182" s="2207"/>
      <c r="BC182" s="2207"/>
      <c r="BD182" s="2207"/>
      <c r="BE182" s="2207"/>
    </row>
    <row r="183" spans="1:57" ht="15.75" customHeight="1" thickBot="1">
      <c r="A183" s="1190"/>
      <c r="B183" s="1190"/>
      <c r="C183" s="2200"/>
      <c r="D183" s="2201"/>
      <c r="E183" s="2201"/>
      <c r="F183" s="2201"/>
      <c r="G183" s="2201"/>
      <c r="H183" s="2201"/>
      <c r="I183" s="2201"/>
      <c r="J183" s="2201"/>
      <c r="K183" s="2201"/>
      <c r="L183" s="2201"/>
      <c r="M183" s="2201"/>
      <c r="N183" s="2201"/>
      <c r="O183" s="2201"/>
      <c r="P183" s="2201"/>
      <c r="Q183" s="2201"/>
      <c r="R183" s="2201"/>
      <c r="S183" s="2201"/>
      <c r="T183" s="2201"/>
      <c r="U183" s="2201"/>
      <c r="V183" s="2201"/>
      <c r="W183" s="2201"/>
      <c r="X183" s="2201"/>
      <c r="Y183" s="2201"/>
      <c r="Z183" s="2201"/>
      <c r="AA183" s="2201"/>
      <c r="AB183" s="2201"/>
      <c r="AC183" s="2201"/>
      <c r="AD183" s="2201"/>
      <c r="AE183" s="2202"/>
      <c r="AF183" s="1190"/>
      <c r="AG183" s="1190"/>
      <c r="AH183" s="2207"/>
      <c r="AI183" s="2207"/>
      <c r="AJ183" s="2207"/>
      <c r="AK183" s="2207"/>
      <c r="AL183" s="2207"/>
      <c r="AM183" s="2207"/>
      <c r="AN183" s="2207"/>
      <c r="AO183" s="2207"/>
      <c r="AP183" s="2207"/>
      <c r="AQ183" s="2207"/>
      <c r="AR183" s="2207"/>
      <c r="AS183" s="2207"/>
      <c r="AT183" s="2207"/>
      <c r="AU183" s="2207"/>
      <c r="AV183" s="2207"/>
      <c r="AW183" s="2207"/>
      <c r="AX183" s="2207"/>
      <c r="AY183" s="2207"/>
      <c r="AZ183" s="2207"/>
      <c r="BA183" s="2207"/>
      <c r="BB183" s="2207"/>
      <c r="BC183" s="2207"/>
      <c r="BD183" s="2207"/>
      <c r="BE183" s="2207"/>
    </row>
    <row r="184" spans="1:57" ht="15.75" customHeight="1">
      <c r="A184" s="1190"/>
      <c r="B184" s="1190"/>
      <c r="C184" s="2070" t="s">
        <v>2328</v>
      </c>
      <c r="D184" s="2071"/>
      <c r="E184" s="2071"/>
      <c r="F184" s="2071"/>
      <c r="G184" s="2071"/>
      <c r="H184" s="2071"/>
      <c r="I184" s="2071"/>
      <c r="J184" s="2071"/>
      <c r="K184" s="2071"/>
      <c r="L184" s="2071"/>
      <c r="M184" s="2071"/>
      <c r="N184" s="2071" t="s">
        <v>2329</v>
      </c>
      <c r="O184" s="2071"/>
      <c r="P184" s="2071"/>
      <c r="Q184" s="2071"/>
      <c r="R184" s="2071"/>
      <c r="S184" s="2071"/>
      <c r="T184" s="2071"/>
      <c r="U184" s="2022" t="s">
        <v>2328</v>
      </c>
      <c r="V184" s="2022"/>
      <c r="W184" s="2022"/>
      <c r="X184" s="2022"/>
      <c r="Y184" s="2022"/>
      <c r="Z184" s="2022"/>
      <c r="AA184" s="2022"/>
      <c r="AB184" s="2022"/>
      <c r="AC184" s="2022"/>
      <c r="AD184" s="2022"/>
      <c r="AE184" s="2023"/>
      <c r="AF184" s="1190"/>
      <c r="AG184" s="1190"/>
      <c r="AH184" s="2207"/>
      <c r="AI184" s="2207"/>
      <c r="AJ184" s="2207"/>
      <c r="AK184" s="2207"/>
      <c r="AL184" s="2207"/>
      <c r="AM184" s="2207"/>
      <c r="AN184" s="2207"/>
      <c r="AO184" s="2207"/>
      <c r="AP184" s="2207"/>
      <c r="AQ184" s="2207"/>
      <c r="AR184" s="2207"/>
      <c r="AS184" s="2207"/>
      <c r="AT184" s="2207"/>
      <c r="AU184" s="2207"/>
      <c r="AV184" s="2207"/>
      <c r="AW184" s="2207"/>
      <c r="AX184" s="2207"/>
      <c r="AY184" s="2207"/>
      <c r="AZ184" s="2207"/>
      <c r="BA184" s="2207"/>
      <c r="BB184" s="2207"/>
      <c r="BC184" s="2207"/>
      <c r="BD184" s="2207"/>
      <c r="BE184" s="2207"/>
    </row>
    <row r="185" spans="1:57" ht="15.75" customHeight="1">
      <c r="A185" s="1190"/>
      <c r="B185" s="1190"/>
      <c r="C185" s="2194" t="s">
        <v>2327</v>
      </c>
      <c r="D185" s="2195"/>
      <c r="E185" s="2195"/>
      <c r="F185" s="2195"/>
      <c r="G185" s="2195"/>
      <c r="H185" s="2195"/>
      <c r="I185" s="2195"/>
      <c r="J185" s="2195"/>
      <c r="K185" s="2195"/>
      <c r="L185" s="2195"/>
      <c r="M185" s="2195"/>
      <c r="N185" s="2196">
        <f>'Sources and Uses Budget'!B105</f>
        <v>41750794</v>
      </c>
      <c r="O185" s="2196"/>
      <c r="P185" s="2196"/>
      <c r="Q185" s="2196"/>
      <c r="R185" s="2196"/>
      <c r="S185" s="2196"/>
      <c r="T185" s="2196"/>
      <c r="U185" s="2208"/>
      <c r="V185" s="2208"/>
      <c r="W185" s="2208"/>
      <c r="X185" s="2208"/>
      <c r="Y185" s="2208"/>
      <c r="Z185" s="2208"/>
      <c r="AA185" s="2208"/>
      <c r="AB185" s="2208"/>
      <c r="AC185" s="2208"/>
      <c r="AD185" s="2208"/>
      <c r="AE185" s="2209"/>
      <c r="AF185" s="1190"/>
      <c r="AG185" s="1190"/>
      <c r="AH185" s="2207"/>
      <c r="AI185" s="2207"/>
      <c r="AJ185" s="2207"/>
      <c r="AK185" s="2207"/>
      <c r="AL185" s="2207"/>
      <c r="AM185" s="2207"/>
      <c r="AN185" s="2207"/>
      <c r="AO185" s="2207"/>
      <c r="AP185" s="2207"/>
      <c r="AQ185" s="2207"/>
      <c r="AR185" s="2207"/>
      <c r="AS185" s="2207"/>
      <c r="AT185" s="2207"/>
      <c r="AU185" s="2207"/>
      <c r="AV185" s="2207"/>
      <c r="AW185" s="2207"/>
      <c r="AX185" s="2207"/>
      <c r="AY185" s="2207"/>
      <c r="AZ185" s="2207"/>
      <c r="BA185" s="2207"/>
      <c r="BB185" s="2207"/>
      <c r="BC185" s="2207"/>
      <c r="BD185" s="2207"/>
      <c r="BE185" s="2207"/>
    </row>
    <row r="186" spans="1:57" ht="15.75" customHeight="1">
      <c r="A186" s="1190"/>
      <c r="B186" s="1190"/>
      <c r="C186" s="2194" t="s">
        <v>2326</v>
      </c>
      <c r="D186" s="2195"/>
      <c r="E186" s="2195"/>
      <c r="F186" s="2195"/>
      <c r="G186" s="2195"/>
      <c r="H186" s="2195"/>
      <c r="I186" s="2195"/>
      <c r="J186" s="2195"/>
      <c r="K186" s="2195"/>
      <c r="L186" s="2195"/>
      <c r="M186" s="2195"/>
      <c r="N186" s="2196">
        <f>N185/J29</f>
        <v>907625.95652173914</v>
      </c>
      <c r="O186" s="2196"/>
      <c r="P186" s="2196"/>
      <c r="Q186" s="2196"/>
      <c r="R186" s="2196"/>
      <c r="S186" s="2196"/>
      <c r="T186" s="2196"/>
      <c r="U186" s="1228"/>
      <c r="V186" s="1228"/>
      <c r="W186" s="1228"/>
      <c r="X186" s="1228"/>
      <c r="Y186" s="1228"/>
      <c r="Z186" s="1228"/>
      <c r="AA186" s="1228"/>
      <c r="AB186" s="1228"/>
      <c r="AC186" s="1228"/>
      <c r="AD186" s="1228"/>
      <c r="AE186" s="1229"/>
      <c r="AF186" s="1190"/>
      <c r="AG186" s="1190"/>
      <c r="AH186" s="2207"/>
      <c r="AI186" s="2207"/>
      <c r="AJ186" s="2207"/>
      <c r="AK186" s="2207"/>
      <c r="AL186" s="2207"/>
      <c r="AM186" s="2207"/>
      <c r="AN186" s="2207"/>
      <c r="AO186" s="2207"/>
      <c r="AP186" s="2207"/>
      <c r="AQ186" s="2207"/>
      <c r="AR186" s="2207"/>
      <c r="AS186" s="2207"/>
      <c r="AT186" s="2207"/>
      <c r="AU186" s="2207"/>
      <c r="AV186" s="2207"/>
      <c r="AW186" s="2207"/>
      <c r="AX186" s="2207"/>
      <c r="AY186" s="2207"/>
      <c r="AZ186" s="2207"/>
      <c r="BA186" s="2207"/>
      <c r="BB186" s="2207"/>
      <c r="BC186" s="2207"/>
      <c r="BD186" s="2207"/>
      <c r="BE186" s="2207"/>
    </row>
    <row r="187" spans="1:57" ht="15.75" customHeight="1">
      <c r="A187" s="1190"/>
      <c r="B187" s="1190"/>
      <c r="C187" s="2210" t="s">
        <v>2325</v>
      </c>
      <c r="D187" s="2211"/>
      <c r="E187" s="2211"/>
      <c r="F187" s="2211"/>
      <c r="G187" s="2211"/>
      <c r="H187" s="2211"/>
      <c r="I187" s="2211"/>
      <c r="J187" s="2211"/>
      <c r="K187" s="2211"/>
      <c r="L187" s="2211"/>
      <c r="M187" s="2211"/>
      <c r="N187" s="2064">
        <v>0</v>
      </c>
      <c r="O187" s="2064"/>
      <c r="P187" s="2064"/>
      <c r="Q187" s="2064"/>
      <c r="R187" s="2064"/>
      <c r="S187" s="2064"/>
      <c r="T187" s="2064"/>
      <c r="U187" s="2040"/>
      <c r="V187" s="2040"/>
      <c r="W187" s="2040"/>
      <c r="X187" s="2040"/>
      <c r="Y187" s="2040"/>
      <c r="Z187" s="2040"/>
      <c r="AA187" s="2040"/>
      <c r="AB187" s="2040"/>
      <c r="AC187" s="2040"/>
      <c r="AD187" s="2040"/>
      <c r="AE187" s="2041"/>
      <c r="AF187" s="1190"/>
      <c r="AG187" s="1190"/>
      <c r="AH187" s="2207"/>
      <c r="AI187" s="2207"/>
      <c r="AJ187" s="2207"/>
      <c r="AK187" s="2207"/>
      <c r="AL187" s="2207"/>
      <c r="AM187" s="2207"/>
      <c r="AN187" s="2207"/>
      <c r="AO187" s="2207"/>
      <c r="AP187" s="2207"/>
      <c r="AQ187" s="2207"/>
      <c r="AR187" s="2207"/>
      <c r="AS187" s="2207"/>
      <c r="AT187" s="2207"/>
      <c r="AU187" s="2207"/>
      <c r="AV187" s="2207"/>
      <c r="AW187" s="2207"/>
      <c r="AX187" s="2207"/>
      <c r="AY187" s="2207"/>
      <c r="AZ187" s="2207"/>
      <c r="BA187" s="2207"/>
      <c r="BB187" s="2207"/>
      <c r="BC187" s="2207"/>
      <c r="BD187" s="2207"/>
      <c r="BE187" s="2207"/>
    </row>
    <row r="188" spans="1:57" ht="15.75" customHeight="1" thickBot="1">
      <c r="A188" s="1190"/>
      <c r="B188" s="1190"/>
      <c r="C188" s="2194" t="s">
        <v>2324</v>
      </c>
      <c r="D188" s="2195"/>
      <c r="E188" s="2195"/>
      <c r="F188" s="2195"/>
      <c r="G188" s="2195"/>
      <c r="H188" s="2195"/>
      <c r="I188" s="2195"/>
      <c r="J188" s="2195"/>
      <c r="K188" s="2195"/>
      <c r="L188" s="2195"/>
      <c r="M188" s="2195"/>
      <c r="N188" s="2212">
        <f>SUM('Sources and Uses Budget'!B85:B86)</f>
        <v>1225049</v>
      </c>
      <c r="O188" s="2212"/>
      <c r="P188" s="2212"/>
      <c r="Q188" s="2212"/>
      <c r="R188" s="2212"/>
      <c r="S188" s="2212"/>
      <c r="T188" s="2212"/>
      <c r="U188" s="2040"/>
      <c r="V188" s="2040"/>
      <c r="W188" s="2040"/>
      <c r="X188" s="2040"/>
      <c r="Y188" s="2040"/>
      <c r="Z188" s="2040"/>
      <c r="AA188" s="2040"/>
      <c r="AB188" s="2040"/>
      <c r="AC188" s="2040"/>
      <c r="AD188" s="2040"/>
      <c r="AE188" s="2041"/>
      <c r="AF188" s="1190"/>
      <c r="AG188" s="1190"/>
      <c r="AH188" s="2207"/>
      <c r="AI188" s="2207"/>
      <c r="AJ188" s="2207"/>
      <c r="AK188" s="2207"/>
      <c r="AL188" s="2207"/>
      <c r="AM188" s="2207"/>
      <c r="AN188" s="2207"/>
      <c r="AO188" s="2207"/>
      <c r="AP188" s="2207"/>
      <c r="AQ188" s="2207"/>
      <c r="AR188" s="2207"/>
      <c r="AS188" s="2207"/>
      <c r="AT188" s="2207"/>
      <c r="AU188" s="2207"/>
      <c r="AV188" s="2207"/>
      <c r="AW188" s="2207"/>
      <c r="AX188" s="2207"/>
      <c r="AY188" s="2207"/>
      <c r="AZ188" s="2207"/>
      <c r="BA188" s="2207"/>
      <c r="BB188" s="2207"/>
      <c r="BC188" s="2207"/>
      <c r="BD188" s="2207"/>
      <c r="BE188" s="2207"/>
    </row>
    <row r="189" spans="1:57" ht="15.75" customHeight="1" thickBot="1">
      <c r="A189" s="1190"/>
      <c r="B189" s="1190"/>
      <c r="C189" s="2194" t="s">
        <v>2323</v>
      </c>
      <c r="D189" s="2195"/>
      <c r="E189" s="2195"/>
      <c r="F189" s="2195"/>
      <c r="G189" s="2195"/>
      <c r="H189" s="2195"/>
      <c r="I189" s="2195"/>
      <c r="J189" s="2195"/>
      <c r="K189" s="2195"/>
      <c r="L189" s="2195"/>
      <c r="M189" s="2195"/>
      <c r="N189" s="2212">
        <f>'Sources and Uses Budget'!B8</f>
        <v>2100000</v>
      </c>
      <c r="O189" s="2212"/>
      <c r="P189" s="2212"/>
      <c r="Q189" s="2212"/>
      <c r="R189" s="2212"/>
      <c r="S189" s="2212"/>
      <c r="T189" s="2212"/>
      <c r="U189" s="2040"/>
      <c r="V189" s="2040"/>
      <c r="W189" s="2040"/>
      <c r="X189" s="2040"/>
      <c r="Y189" s="2040"/>
      <c r="Z189" s="2040"/>
      <c r="AA189" s="2040"/>
      <c r="AB189" s="2040"/>
      <c r="AC189" s="2040"/>
      <c r="AD189" s="2040"/>
      <c r="AE189" s="2041"/>
      <c r="AF189" s="1190"/>
      <c r="AG189" s="1190"/>
      <c r="AH189" s="2216" t="s">
        <v>2321</v>
      </c>
      <c r="AI189" s="2217"/>
      <c r="AJ189" s="2217"/>
      <c r="AK189" s="2217"/>
      <c r="AL189" s="2217"/>
      <c r="AM189" s="2217"/>
      <c r="AN189" s="2217"/>
      <c r="AO189" s="2217"/>
      <c r="AP189" s="2217"/>
      <c r="AQ189" s="2217"/>
      <c r="AR189" s="2217"/>
      <c r="AS189" s="2217"/>
      <c r="AT189" s="2217"/>
      <c r="AU189" s="2217"/>
      <c r="AV189" s="2217"/>
      <c r="AW189" s="2217"/>
      <c r="AX189" s="2217"/>
      <c r="AY189" s="2217"/>
      <c r="AZ189" s="2217"/>
      <c r="BA189" s="2217"/>
      <c r="BB189" s="2217"/>
      <c r="BC189" s="2217"/>
      <c r="BD189" s="2217"/>
      <c r="BE189" s="2218"/>
    </row>
    <row r="190" spans="1:57" ht="15.75" customHeight="1">
      <c r="A190" s="1190"/>
      <c r="B190" s="1190"/>
      <c r="C190" s="2194" t="s">
        <v>2322</v>
      </c>
      <c r="D190" s="2195"/>
      <c r="E190" s="2195"/>
      <c r="F190" s="2195"/>
      <c r="G190" s="2195"/>
      <c r="H190" s="2195"/>
      <c r="I190" s="2195"/>
      <c r="J190" s="2195"/>
      <c r="K190" s="2195"/>
      <c r="L190" s="2195"/>
      <c r="M190" s="2195"/>
      <c r="N190" s="2203">
        <v>0</v>
      </c>
      <c r="O190" s="2203"/>
      <c r="P190" s="2203"/>
      <c r="Q190" s="2203"/>
      <c r="R190" s="2203"/>
      <c r="S190" s="2203"/>
      <c r="T190" s="2203"/>
      <c r="U190" s="2040"/>
      <c r="V190" s="2040"/>
      <c r="W190" s="2040"/>
      <c r="X190" s="2040"/>
      <c r="Y190" s="2040"/>
      <c r="Z190" s="2040"/>
      <c r="AA190" s="2040"/>
      <c r="AB190" s="2040"/>
      <c r="AC190" s="2040"/>
      <c r="AD190" s="2040"/>
      <c r="AE190" s="2041"/>
      <c r="AF190" s="1190"/>
      <c r="AG190" s="1190"/>
      <c r="AH190" s="2219" t="s">
        <v>2321</v>
      </c>
      <c r="AI190" s="2220"/>
      <c r="AJ190" s="2220"/>
      <c r="AK190" s="2220"/>
      <c r="AL190" s="2220"/>
      <c r="AM190" s="2220"/>
      <c r="AN190" s="2220"/>
      <c r="AO190" s="2220"/>
      <c r="AP190" s="2220"/>
      <c r="AQ190" s="2220"/>
      <c r="AR190" s="2220"/>
      <c r="AS190" s="2220"/>
      <c r="AT190" s="2220"/>
      <c r="AU190" s="2221">
        <v>0</v>
      </c>
      <c r="AV190" s="2221"/>
      <c r="AW190" s="2221"/>
      <c r="AX190" s="2221"/>
      <c r="AY190" s="2221"/>
      <c r="AZ190" s="2221"/>
      <c r="BA190" s="2221"/>
      <c r="BB190" s="2221"/>
      <c r="BC190" s="2222"/>
      <c r="BD190" s="2223"/>
      <c r="BE190" s="2224"/>
    </row>
    <row r="191" spans="1:57" ht="15.75" customHeight="1">
      <c r="A191" s="1190"/>
      <c r="B191" s="1190"/>
      <c r="C191" s="2194" t="s">
        <v>2320</v>
      </c>
      <c r="D191" s="2195"/>
      <c r="E191" s="2195"/>
      <c r="F191" s="2195"/>
      <c r="G191" s="2195"/>
      <c r="H191" s="2195"/>
      <c r="I191" s="2195"/>
      <c r="J191" s="2195"/>
      <c r="K191" s="2195"/>
      <c r="L191" s="2195"/>
      <c r="M191" s="2195"/>
      <c r="N191" s="2203">
        <v>0</v>
      </c>
      <c r="O191" s="2203"/>
      <c r="P191" s="2203"/>
      <c r="Q191" s="2203"/>
      <c r="R191" s="2203"/>
      <c r="S191" s="2203"/>
      <c r="T191" s="2203"/>
      <c r="U191" s="2040"/>
      <c r="V191" s="2040"/>
      <c r="W191" s="2040"/>
      <c r="X191" s="2040"/>
      <c r="Y191" s="2040"/>
      <c r="Z191" s="2040"/>
      <c r="AA191" s="2040"/>
      <c r="AB191" s="2040"/>
      <c r="AC191" s="2040"/>
      <c r="AD191" s="2040"/>
      <c r="AE191" s="2041"/>
      <c r="AF191" s="1190"/>
      <c r="AG191" s="1190"/>
      <c r="AH191" s="2204" t="s">
        <v>2319</v>
      </c>
      <c r="AI191" s="2205"/>
      <c r="AJ191" s="2205"/>
      <c r="AK191" s="2205"/>
      <c r="AL191" s="2205"/>
      <c r="AM191" s="2205"/>
      <c r="AN191" s="2205"/>
      <c r="AO191" s="2205"/>
      <c r="AP191" s="2205"/>
      <c r="AQ191" s="2205"/>
      <c r="AR191" s="2205"/>
      <c r="AS191" s="2205"/>
      <c r="AT191" s="2205"/>
      <c r="AU191" s="2206"/>
      <c r="AV191" s="2206"/>
      <c r="AW191" s="2206"/>
      <c r="AX191" s="2206"/>
      <c r="AY191" s="2206"/>
      <c r="AZ191" s="2206"/>
      <c r="BA191" s="2206"/>
      <c r="BB191" s="2206"/>
      <c r="BC191" s="2213"/>
      <c r="BD191" s="2214"/>
      <c r="BE191" s="2215"/>
    </row>
    <row r="192" spans="1:57" ht="15.75" customHeight="1">
      <c r="A192" s="1190"/>
      <c r="B192" s="1190"/>
      <c r="C192" s="2229" t="s">
        <v>300</v>
      </c>
      <c r="D192" s="2172"/>
      <c r="E192" s="2225" t="s">
        <v>2317</v>
      </c>
      <c r="F192" s="2225"/>
      <c r="G192" s="2225"/>
      <c r="H192" s="2225"/>
      <c r="I192" s="2225"/>
      <c r="J192" s="2225"/>
      <c r="K192" s="2225"/>
      <c r="L192" s="2225"/>
      <c r="M192" s="2225"/>
      <c r="N192" s="2203">
        <v>0</v>
      </c>
      <c r="O192" s="2203"/>
      <c r="P192" s="2203"/>
      <c r="Q192" s="2203"/>
      <c r="R192" s="2203"/>
      <c r="S192" s="2203"/>
      <c r="T192" s="2203"/>
      <c r="U192" s="2040"/>
      <c r="V192" s="2040"/>
      <c r="W192" s="2040"/>
      <c r="X192" s="2040"/>
      <c r="Y192" s="2040"/>
      <c r="Z192" s="2040"/>
      <c r="AA192" s="2040"/>
      <c r="AB192" s="2040"/>
      <c r="AC192" s="2040"/>
      <c r="AD192" s="2040"/>
      <c r="AE192" s="2041"/>
      <c r="AF192" s="1190"/>
      <c r="AG192" s="1190"/>
      <c r="AH192" s="2230" t="s">
        <v>2318</v>
      </c>
      <c r="AI192" s="2231"/>
      <c r="AJ192" s="2231"/>
      <c r="AK192" s="2231"/>
      <c r="AL192" s="2231"/>
      <c r="AM192" s="2231"/>
      <c r="AN192" s="2231"/>
      <c r="AO192" s="2231"/>
      <c r="AP192" s="2231"/>
      <c r="AQ192" s="2231"/>
      <c r="AR192" s="2231"/>
      <c r="AS192" s="2231"/>
      <c r="AT192" s="2231"/>
      <c r="AU192" s="2232">
        <f>SUM(AU190:BB191)</f>
        <v>0</v>
      </c>
      <c r="AV192" s="2232"/>
      <c r="AW192" s="2232"/>
      <c r="AX192" s="2232"/>
      <c r="AY192" s="2232"/>
      <c r="AZ192" s="2232"/>
      <c r="BA192" s="2232"/>
      <c r="BB192" s="2232"/>
      <c r="BC192" s="2213"/>
      <c r="BD192" s="2214"/>
      <c r="BE192" s="2215"/>
    </row>
    <row r="193" spans="1:57" ht="15.75" customHeight="1" thickBot="1">
      <c r="A193" s="1190"/>
      <c r="B193" s="1190"/>
      <c r="C193" s="2096" t="s">
        <v>300</v>
      </c>
      <c r="D193" s="2028"/>
      <c r="E193" s="2225" t="s">
        <v>2317</v>
      </c>
      <c r="F193" s="2225"/>
      <c r="G193" s="2225"/>
      <c r="H193" s="2225"/>
      <c r="I193" s="2225"/>
      <c r="J193" s="2225"/>
      <c r="K193" s="2225"/>
      <c r="L193" s="2225"/>
      <c r="M193" s="2225"/>
      <c r="N193" s="2203">
        <v>0</v>
      </c>
      <c r="O193" s="2203"/>
      <c r="P193" s="2203"/>
      <c r="Q193" s="2203"/>
      <c r="R193" s="2203"/>
      <c r="S193" s="2203"/>
      <c r="T193" s="2203"/>
      <c r="U193" s="2040"/>
      <c r="V193" s="2040"/>
      <c r="W193" s="2040"/>
      <c r="X193" s="2040"/>
      <c r="Y193" s="2040"/>
      <c r="Z193" s="2040"/>
      <c r="AA193" s="2040"/>
      <c r="AB193" s="2040"/>
      <c r="AC193" s="2040"/>
      <c r="AD193" s="2040"/>
      <c r="AE193" s="204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6"/>
      <c r="BD193" s="2227"/>
      <c r="BE193" s="2228"/>
    </row>
    <row r="194" spans="1:57" ht="15.75" customHeight="1" thickBot="1">
      <c r="A194" s="1190"/>
      <c r="B194" s="1190"/>
      <c r="C194" s="2250" t="s">
        <v>300</v>
      </c>
      <c r="D194" s="2251"/>
      <c r="E194" s="2252" t="s">
        <v>2317</v>
      </c>
      <c r="F194" s="2252"/>
      <c r="G194" s="2252"/>
      <c r="H194" s="2252"/>
      <c r="I194" s="2252"/>
      <c r="J194" s="2252"/>
      <c r="K194" s="2252"/>
      <c r="L194" s="2252"/>
      <c r="M194" s="2253"/>
      <c r="N194" s="2254">
        <v>0</v>
      </c>
      <c r="O194" s="2254"/>
      <c r="P194" s="2254"/>
      <c r="Q194" s="2254"/>
      <c r="R194" s="2254"/>
      <c r="S194" s="2254"/>
      <c r="T194" s="2255"/>
      <c r="U194" s="2256"/>
      <c r="V194" s="2257"/>
      <c r="W194" s="2257"/>
      <c r="X194" s="2257"/>
      <c r="Y194" s="2257"/>
      <c r="Z194" s="2257"/>
      <c r="AA194" s="2257"/>
      <c r="AB194" s="2257"/>
      <c r="AC194" s="2257"/>
      <c r="AD194" s="2257"/>
      <c r="AE194" s="2258"/>
      <c r="AF194" s="1190"/>
      <c r="AG194" s="1190"/>
      <c r="AH194" s="2259" t="s">
        <v>2316</v>
      </c>
      <c r="AI194" s="2260"/>
      <c r="AJ194" s="2260"/>
      <c r="AK194" s="2260"/>
      <c r="AL194" s="2260"/>
      <c r="AM194" s="2260"/>
      <c r="AN194" s="2260"/>
      <c r="AO194" s="2260"/>
      <c r="AP194" s="2260"/>
      <c r="AQ194" s="2260"/>
      <c r="AR194" s="2260"/>
      <c r="AS194" s="2260"/>
      <c r="AT194" s="2260"/>
      <c r="AU194" s="2261"/>
      <c r="AV194" s="2261"/>
      <c r="AW194" s="2261"/>
      <c r="AX194" s="2261"/>
      <c r="AY194" s="2261"/>
      <c r="AZ194" s="2261"/>
      <c r="BA194" s="2261"/>
      <c r="BB194" s="2261"/>
      <c r="BC194" s="1171"/>
      <c r="BD194" s="1171"/>
      <c r="BE194" s="1232"/>
    </row>
    <row r="195" spans="1:57" ht="15.75" customHeight="1">
      <c r="A195" s="1190"/>
      <c r="B195" s="1190"/>
      <c r="C195" s="2233" t="s">
        <v>2315</v>
      </c>
      <c r="D195" s="2234"/>
      <c r="E195" s="2234"/>
      <c r="F195" s="2234"/>
      <c r="G195" s="2234"/>
      <c r="H195" s="2234"/>
      <c r="I195" s="2234"/>
      <c r="J195" s="2234"/>
      <c r="K195" s="2234"/>
      <c r="L195" s="2234"/>
      <c r="M195" s="2234"/>
      <c r="N195" s="2235">
        <f>SUM(N187:T194)</f>
        <v>3325049</v>
      </c>
      <c r="O195" s="2235"/>
      <c r="P195" s="2235"/>
      <c r="Q195" s="2235"/>
      <c r="R195" s="2235"/>
      <c r="S195" s="2235"/>
      <c r="T195" s="2236"/>
      <c r="U195" s="1190"/>
      <c r="V195" s="1190"/>
      <c r="W195" s="1190"/>
      <c r="X195" s="1190"/>
      <c r="Y195" s="1190"/>
      <c r="Z195" s="1190"/>
      <c r="AA195" s="1190"/>
      <c r="AB195" s="1190"/>
      <c r="AC195" s="1190"/>
      <c r="AD195" s="1190"/>
      <c r="AE195" s="1190"/>
      <c r="AF195" s="1190"/>
      <c r="AG195" s="1190"/>
      <c r="AH195" s="2237" t="s">
        <v>2314</v>
      </c>
      <c r="AI195" s="2238"/>
      <c r="AJ195" s="2238"/>
      <c r="AK195" s="2238"/>
      <c r="AL195" s="2238"/>
      <c r="AM195" s="2238"/>
      <c r="AN195" s="2238"/>
      <c r="AO195" s="2238"/>
      <c r="AP195" s="2238"/>
      <c r="AQ195" s="2238"/>
      <c r="AR195" s="2238"/>
      <c r="AS195" s="2238"/>
      <c r="AT195" s="2238"/>
      <c r="AU195" s="2238"/>
      <c r="AV195" s="2238"/>
      <c r="AW195" s="2238"/>
      <c r="AX195" s="2238"/>
      <c r="AY195" s="2238"/>
      <c r="AZ195" s="2238"/>
      <c r="BA195" s="2238"/>
      <c r="BB195" s="2238"/>
      <c r="BC195" s="2238"/>
      <c r="BD195" s="2238"/>
      <c r="BE195" s="2239"/>
    </row>
    <row r="196" spans="1:57" ht="15.75" customHeight="1" thickBot="1">
      <c r="A196" s="1190"/>
      <c r="B196" s="1190"/>
      <c r="C196" s="2243" t="s">
        <v>2313</v>
      </c>
      <c r="D196" s="2244"/>
      <c r="E196" s="2244"/>
      <c r="F196" s="2244"/>
      <c r="G196" s="2244"/>
      <c r="H196" s="2244"/>
      <c r="I196" s="2244"/>
      <c r="J196" s="2244"/>
      <c r="K196" s="2244"/>
      <c r="L196" s="2244"/>
      <c r="M196" s="2244"/>
      <c r="N196" s="2245">
        <f>(N185-N195)/J29</f>
        <v>835342.28260869568</v>
      </c>
      <c r="O196" s="2246"/>
      <c r="P196" s="2246"/>
      <c r="Q196" s="2246"/>
      <c r="R196" s="2246"/>
      <c r="S196" s="2246"/>
      <c r="T196" s="2247"/>
      <c r="U196" s="1195"/>
      <c r="V196" s="1190"/>
      <c r="W196" s="1190"/>
      <c r="X196" s="1190"/>
      <c r="Y196" s="1190"/>
      <c r="Z196" s="1190"/>
      <c r="AA196" s="1190"/>
      <c r="AB196" s="1190"/>
      <c r="AC196" s="1190"/>
      <c r="AD196" s="1190"/>
      <c r="AE196" s="1190"/>
      <c r="AF196" s="1190"/>
      <c r="AG196" s="1190"/>
      <c r="AH196" s="2240"/>
      <c r="AI196" s="2241"/>
      <c r="AJ196" s="2241"/>
      <c r="AK196" s="2241"/>
      <c r="AL196" s="2241"/>
      <c r="AM196" s="2241"/>
      <c r="AN196" s="2241"/>
      <c r="AO196" s="2241"/>
      <c r="AP196" s="2241"/>
      <c r="AQ196" s="2241"/>
      <c r="AR196" s="2241"/>
      <c r="AS196" s="2241"/>
      <c r="AT196" s="2241"/>
      <c r="AU196" s="2241"/>
      <c r="AV196" s="2241"/>
      <c r="AW196" s="2241"/>
      <c r="AX196" s="2241"/>
      <c r="AY196" s="2241"/>
      <c r="AZ196" s="2241"/>
      <c r="BA196" s="2241"/>
      <c r="BB196" s="2241"/>
      <c r="BC196" s="2241"/>
      <c r="BD196" s="2241"/>
      <c r="BE196" s="224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8"/>
      <c r="AI197" s="2248"/>
      <c r="AJ197" s="2248"/>
      <c r="AK197" s="2248"/>
      <c r="AL197" s="2248"/>
      <c r="AM197" s="2248"/>
      <c r="AN197" s="2248"/>
      <c r="AO197" s="2248"/>
      <c r="AP197" s="2248"/>
      <c r="AQ197" s="2248"/>
      <c r="AR197" s="2248"/>
      <c r="AS197" s="2249"/>
      <c r="AT197" s="2249"/>
      <c r="AU197" s="2249"/>
      <c r="AV197" s="2249"/>
      <c r="AW197" s="2249"/>
      <c r="AX197" s="2249"/>
      <c r="AY197" s="2249"/>
      <c r="AZ197" s="2249"/>
      <c r="BA197" s="2249"/>
      <c r="BB197" s="2249"/>
      <c r="BC197" s="2249"/>
      <c r="BD197" s="224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7" t="s">
        <v>2312</v>
      </c>
      <c r="D199" s="2268"/>
      <c r="E199" s="2268"/>
      <c r="F199" s="2268"/>
      <c r="G199" s="2268"/>
      <c r="H199" s="2268"/>
      <c r="I199" s="2268"/>
      <c r="J199" s="2268"/>
      <c r="K199" s="2268"/>
      <c r="L199" s="2268"/>
      <c r="M199" s="2268"/>
      <c r="N199" s="2268"/>
      <c r="O199" s="2268"/>
      <c r="P199" s="2268"/>
      <c r="Q199" s="2268"/>
      <c r="R199" s="2268"/>
      <c r="S199" s="2268"/>
      <c r="T199" s="2268"/>
      <c r="U199" s="2268"/>
      <c r="V199" s="2268"/>
      <c r="W199" s="2268"/>
      <c r="X199" s="2268"/>
      <c r="Y199" s="2268"/>
      <c r="Z199" s="2268"/>
      <c r="AA199" s="2268"/>
      <c r="AB199" s="2268"/>
      <c r="AC199" s="2268"/>
      <c r="AD199" s="2268"/>
      <c r="AE199" s="226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70" t="s">
        <v>2311</v>
      </c>
      <c r="D200" s="2270"/>
      <c r="E200" s="2270"/>
      <c r="F200" s="2270"/>
      <c r="G200" s="2270"/>
      <c r="H200" s="2270"/>
      <c r="I200" s="2270"/>
      <c r="J200" s="2270"/>
      <c r="K200" s="2270"/>
      <c r="L200" s="2270"/>
      <c r="M200" s="2270"/>
      <c r="N200" s="2270"/>
      <c r="O200" s="2271" t="s">
        <v>2310</v>
      </c>
      <c r="P200" s="2271"/>
      <c r="Q200" s="2271"/>
      <c r="R200" s="2271"/>
      <c r="S200" s="2271"/>
      <c r="T200" s="2271"/>
      <c r="U200" s="2271"/>
      <c r="V200" s="2271"/>
      <c r="W200" s="2271"/>
      <c r="X200" s="2271" t="s">
        <v>2309</v>
      </c>
      <c r="Y200" s="2271"/>
      <c r="Z200" s="2271"/>
      <c r="AA200" s="2271"/>
      <c r="AB200" s="2271"/>
      <c r="AC200" s="2271"/>
      <c r="AD200" s="2271"/>
      <c r="AE200" s="227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62" t="s">
        <v>2308</v>
      </c>
      <c r="D201" s="2262"/>
      <c r="E201" s="2262"/>
      <c r="F201" s="2262"/>
      <c r="G201" s="2262"/>
      <c r="H201" s="2262"/>
      <c r="I201" s="2262"/>
      <c r="J201" s="2262"/>
      <c r="K201" s="2262"/>
      <c r="L201" s="2262"/>
      <c r="M201" s="2262"/>
      <c r="N201" s="2262"/>
      <c r="O201" s="2263" t="s">
        <v>2307</v>
      </c>
      <c r="P201" s="2263"/>
      <c r="Q201" s="2263"/>
      <c r="R201" s="2263"/>
      <c r="S201" s="2263"/>
      <c r="T201" s="2263"/>
      <c r="U201" s="2263"/>
      <c r="V201" s="2263"/>
      <c r="W201" s="2263"/>
      <c r="X201" s="2264">
        <v>0.03</v>
      </c>
      <c r="Y201" s="2264"/>
      <c r="Z201" s="2264"/>
      <c r="AA201" s="2264"/>
      <c r="AB201" s="2264"/>
      <c r="AC201" s="2264"/>
      <c r="AD201" s="2264"/>
      <c r="AE201" s="226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62" t="s">
        <v>855</v>
      </c>
      <c r="D202" s="2262"/>
      <c r="E202" s="2262"/>
      <c r="F202" s="2262"/>
      <c r="G202" s="2262"/>
      <c r="H202" s="2262"/>
      <c r="I202" s="2262"/>
      <c r="J202" s="2262"/>
      <c r="K202" s="2262"/>
      <c r="L202" s="2262"/>
      <c r="M202" s="2262"/>
      <c r="N202" s="2262"/>
      <c r="O202" s="2263" t="s">
        <v>2307</v>
      </c>
      <c r="P202" s="2263"/>
      <c r="Q202" s="2263"/>
      <c r="R202" s="2263"/>
      <c r="S202" s="2263"/>
      <c r="T202" s="2263"/>
      <c r="U202" s="2263"/>
      <c r="V202" s="2263"/>
      <c r="W202" s="2263"/>
      <c r="X202" s="2264">
        <v>0.03</v>
      </c>
      <c r="Y202" s="2264"/>
      <c r="Z202" s="2264"/>
      <c r="AA202" s="2264"/>
      <c r="AB202" s="2264"/>
      <c r="AC202" s="2264"/>
      <c r="AD202" s="2264"/>
      <c r="AE202" s="226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62" t="s">
        <v>2306</v>
      </c>
      <c r="D203" s="2262"/>
      <c r="E203" s="2262"/>
      <c r="F203" s="2262"/>
      <c r="G203" s="2262"/>
      <c r="H203" s="2262"/>
      <c r="I203" s="2262"/>
      <c r="J203" s="2262"/>
      <c r="K203" s="2262"/>
      <c r="L203" s="2262"/>
      <c r="M203" s="2262"/>
      <c r="N203" s="2262"/>
      <c r="O203" s="2265">
        <f>SUM(O201:W202)</f>
        <v>0</v>
      </c>
      <c r="P203" s="2266"/>
      <c r="Q203" s="2266"/>
      <c r="R203" s="2266"/>
      <c r="S203" s="2266"/>
      <c r="T203" s="2266"/>
      <c r="U203" s="2266"/>
      <c r="V203" s="2266"/>
      <c r="W203" s="2266"/>
      <c r="X203" s="2266" t="s">
        <v>2305</v>
      </c>
      <c r="Y203" s="2266"/>
      <c r="Z203" s="2266"/>
      <c r="AA203" s="2266"/>
      <c r="AB203" s="2266"/>
      <c r="AC203" s="2266"/>
      <c r="AD203" s="2266"/>
      <c r="AE203" s="226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72" t="s">
        <v>2304</v>
      </c>
      <c r="D204" s="2272"/>
      <c r="E204" s="2272"/>
      <c r="F204" s="2272"/>
      <c r="G204" s="2272"/>
      <c r="H204" s="2272"/>
      <c r="I204" s="2272"/>
      <c r="J204" s="2272"/>
      <c r="K204" s="2272"/>
      <c r="L204" s="2272"/>
      <c r="M204" s="2272"/>
      <c r="N204" s="2272"/>
      <c r="O204" s="2272"/>
      <c r="P204" s="2272"/>
      <c r="Q204" s="2272"/>
      <c r="R204" s="2272"/>
      <c r="S204" s="2272"/>
      <c r="T204" s="2272"/>
      <c r="U204" s="2272"/>
      <c r="V204" s="2272"/>
      <c r="W204" s="2272"/>
      <c r="X204" s="2272"/>
      <c r="Y204" s="2272"/>
      <c r="Z204" s="2272"/>
      <c r="AA204" s="2272"/>
      <c r="AB204" s="2272"/>
      <c r="AC204" s="2272"/>
      <c r="AD204" s="2272"/>
      <c r="AE204" s="227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73" t="s">
        <v>2303</v>
      </c>
      <c r="D206" s="2274"/>
      <c r="E206" s="2274"/>
      <c r="F206" s="2274"/>
      <c r="G206" s="2274"/>
      <c r="H206" s="2274"/>
      <c r="I206" s="2274"/>
      <c r="J206" s="2274"/>
      <c r="K206" s="2274"/>
      <c r="L206" s="2274"/>
      <c r="M206" s="2274"/>
      <c r="N206" s="2274"/>
      <c r="O206" s="2274"/>
      <c r="P206" s="2274"/>
      <c r="Q206" s="2274"/>
      <c r="R206" s="2274"/>
      <c r="S206" s="2274"/>
      <c r="T206" s="2274"/>
      <c r="U206" s="2274"/>
      <c r="V206" s="2274"/>
      <c r="W206" s="2274"/>
      <c r="X206" s="2274"/>
      <c r="Y206" s="2274"/>
      <c r="Z206" s="2274"/>
      <c r="AA206" s="2274"/>
      <c r="AB206" s="2274"/>
      <c r="AC206" s="2274"/>
      <c r="AD206" s="2274"/>
      <c r="AE206" s="2274"/>
      <c r="AF206" s="2274"/>
      <c r="AG206" s="2274"/>
      <c r="AH206" s="2274"/>
      <c r="AI206" s="2274"/>
      <c r="AJ206" s="2274"/>
      <c r="AK206" s="227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6" t="s">
        <v>2302</v>
      </c>
      <c r="D207" s="2277"/>
      <c r="E207" s="2277"/>
      <c r="F207" s="2278"/>
      <c r="G207" s="2282" t="s">
        <v>2301</v>
      </c>
      <c r="H207" s="2277"/>
      <c r="I207" s="2277"/>
      <c r="J207" s="2277"/>
      <c r="K207" s="2277"/>
      <c r="L207" s="2277"/>
      <c r="M207" s="2277"/>
      <c r="N207" s="2277"/>
      <c r="O207" s="2278"/>
      <c r="P207" s="2284" t="s">
        <v>2300</v>
      </c>
      <c r="Q207" s="2285"/>
      <c r="R207" s="2285"/>
      <c r="S207" s="2285"/>
      <c r="T207" s="2286"/>
      <c r="U207" s="2290" t="s">
        <v>2299</v>
      </c>
      <c r="V207" s="2291"/>
      <c r="W207" s="2291"/>
      <c r="X207" s="2292"/>
      <c r="Y207" s="2290" t="s">
        <v>2298</v>
      </c>
      <c r="Z207" s="2291"/>
      <c r="AA207" s="2291"/>
      <c r="AB207" s="2292"/>
      <c r="AC207" s="2290" t="s">
        <v>2297</v>
      </c>
      <c r="AD207" s="2291"/>
      <c r="AE207" s="2291"/>
      <c r="AF207" s="2292"/>
      <c r="AG207" s="2282" t="s">
        <v>2296</v>
      </c>
      <c r="AH207" s="2277"/>
      <c r="AI207" s="2277"/>
      <c r="AJ207" s="2277"/>
      <c r="AK207" s="229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9"/>
      <c r="D208" s="2280"/>
      <c r="E208" s="2280"/>
      <c r="F208" s="2281"/>
      <c r="G208" s="2283"/>
      <c r="H208" s="2280"/>
      <c r="I208" s="2280"/>
      <c r="J208" s="2280"/>
      <c r="K208" s="2280"/>
      <c r="L208" s="2280"/>
      <c r="M208" s="2280"/>
      <c r="N208" s="2280"/>
      <c r="O208" s="2281"/>
      <c r="P208" s="2287"/>
      <c r="Q208" s="2288"/>
      <c r="R208" s="2288"/>
      <c r="S208" s="2288"/>
      <c r="T208" s="2289"/>
      <c r="U208" s="2293"/>
      <c r="V208" s="2294"/>
      <c r="W208" s="2294"/>
      <c r="X208" s="2295"/>
      <c r="Y208" s="2293"/>
      <c r="Z208" s="2294"/>
      <c r="AA208" s="2294"/>
      <c r="AB208" s="2295"/>
      <c r="AC208" s="2293"/>
      <c r="AD208" s="2294"/>
      <c r="AE208" s="2294"/>
      <c r="AF208" s="2295"/>
      <c r="AG208" s="2283"/>
      <c r="AH208" s="2280"/>
      <c r="AI208" s="2280"/>
      <c r="AJ208" s="2280"/>
      <c r="AK208" s="229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01">
        <v>1</v>
      </c>
      <c r="D209" s="2302"/>
      <c r="E209" s="2302"/>
      <c r="F209" s="2302"/>
      <c r="G209" s="2303" t="s">
        <v>1885</v>
      </c>
      <c r="H209" s="2303"/>
      <c r="I209" s="2303"/>
      <c r="J209" s="2303"/>
      <c r="K209" s="2303"/>
      <c r="L209" s="2303"/>
      <c r="M209" s="2303"/>
      <c r="N209" s="2303"/>
      <c r="O209" s="2303"/>
      <c r="P209" s="2304"/>
      <c r="Q209" s="2307"/>
      <c r="R209" s="2307"/>
      <c r="S209" s="2307"/>
      <c r="T209" s="2307"/>
      <c r="U209" s="2305" t="s">
        <v>1885</v>
      </c>
      <c r="V209" s="2305"/>
      <c r="W209" s="2305"/>
      <c r="X209" s="2305"/>
      <c r="Y209" s="2305" t="s">
        <v>1885</v>
      </c>
      <c r="Z209" s="2305"/>
      <c r="AA209" s="2305"/>
      <c r="AB209" s="2305"/>
      <c r="AC209" s="2306" t="s">
        <v>1885</v>
      </c>
      <c r="AD209" s="2306"/>
      <c r="AE209" s="2306"/>
      <c r="AF209" s="2306"/>
      <c r="AG209" s="2298"/>
      <c r="AH209" s="2299"/>
      <c r="AI209" s="2299"/>
      <c r="AJ209" s="2299"/>
      <c r="AK209" s="230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01">
        <v>2</v>
      </c>
      <c r="D210" s="2302"/>
      <c r="E210" s="2302"/>
      <c r="F210" s="2302"/>
      <c r="G210" s="2303" t="s">
        <v>1885</v>
      </c>
      <c r="H210" s="2303"/>
      <c r="I210" s="2303"/>
      <c r="J210" s="2303"/>
      <c r="K210" s="2303"/>
      <c r="L210" s="2303"/>
      <c r="M210" s="2303"/>
      <c r="N210" s="2303"/>
      <c r="O210" s="2303"/>
      <c r="P210" s="2304"/>
      <c r="Q210" s="2304"/>
      <c r="R210" s="2304"/>
      <c r="S210" s="2304"/>
      <c r="T210" s="2304"/>
      <c r="U210" s="2305" t="s">
        <v>1885</v>
      </c>
      <c r="V210" s="2305"/>
      <c r="W210" s="2305"/>
      <c r="X210" s="2305"/>
      <c r="Y210" s="2305" t="s">
        <v>1885</v>
      </c>
      <c r="Z210" s="2305"/>
      <c r="AA210" s="2305"/>
      <c r="AB210" s="2305"/>
      <c r="AC210" s="2306" t="s">
        <v>1885</v>
      </c>
      <c r="AD210" s="2306"/>
      <c r="AE210" s="2306"/>
      <c r="AF210" s="2306"/>
      <c r="AG210" s="2298"/>
      <c r="AH210" s="2299"/>
      <c r="AI210" s="2299"/>
      <c r="AJ210" s="2299"/>
      <c r="AK210" s="230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01">
        <v>3</v>
      </c>
      <c r="D211" s="2302"/>
      <c r="E211" s="2302"/>
      <c r="F211" s="2302"/>
      <c r="G211" s="2303" t="s">
        <v>1885</v>
      </c>
      <c r="H211" s="2303"/>
      <c r="I211" s="2303"/>
      <c r="J211" s="2303"/>
      <c r="K211" s="2303"/>
      <c r="L211" s="2303"/>
      <c r="M211" s="2303"/>
      <c r="N211" s="2303"/>
      <c r="O211" s="2303"/>
      <c r="P211" s="2304"/>
      <c r="Q211" s="2304"/>
      <c r="R211" s="2304"/>
      <c r="S211" s="2304"/>
      <c r="T211" s="2304"/>
      <c r="U211" s="2305" t="s">
        <v>1885</v>
      </c>
      <c r="V211" s="2305"/>
      <c r="W211" s="2305"/>
      <c r="X211" s="2305"/>
      <c r="Y211" s="2305" t="s">
        <v>1885</v>
      </c>
      <c r="Z211" s="2305"/>
      <c r="AA211" s="2305"/>
      <c r="AB211" s="2305"/>
      <c r="AC211" s="2306" t="s">
        <v>1885</v>
      </c>
      <c r="AD211" s="2306"/>
      <c r="AE211" s="2306"/>
      <c r="AF211" s="2306"/>
      <c r="AG211" s="2298"/>
      <c r="AH211" s="2299"/>
      <c r="AI211" s="2299"/>
      <c r="AJ211" s="2299"/>
      <c r="AK211" s="230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01">
        <v>4</v>
      </c>
      <c r="D212" s="2302"/>
      <c r="E212" s="2302"/>
      <c r="F212" s="2302"/>
      <c r="G212" s="2303" t="s">
        <v>1885</v>
      </c>
      <c r="H212" s="2303"/>
      <c r="I212" s="2303"/>
      <c r="J212" s="2303"/>
      <c r="K212" s="2303"/>
      <c r="L212" s="2303"/>
      <c r="M212" s="2303"/>
      <c r="N212" s="2303"/>
      <c r="O212" s="2303"/>
      <c r="P212" s="2304"/>
      <c r="Q212" s="2304"/>
      <c r="R212" s="2304"/>
      <c r="S212" s="2304"/>
      <c r="T212" s="2304"/>
      <c r="U212" s="2305" t="s">
        <v>1885</v>
      </c>
      <c r="V212" s="2305"/>
      <c r="W212" s="2305"/>
      <c r="X212" s="2305"/>
      <c r="Y212" s="2305" t="s">
        <v>1885</v>
      </c>
      <c r="Z212" s="2305"/>
      <c r="AA212" s="2305"/>
      <c r="AB212" s="2305"/>
      <c r="AC212" s="2306" t="s">
        <v>1885</v>
      </c>
      <c r="AD212" s="2306"/>
      <c r="AE212" s="2306"/>
      <c r="AF212" s="2306"/>
      <c r="AG212" s="2298"/>
      <c r="AH212" s="2299"/>
      <c r="AI212" s="2299"/>
      <c r="AJ212" s="2299"/>
      <c r="AK212" s="230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01">
        <v>5</v>
      </c>
      <c r="D213" s="2302"/>
      <c r="E213" s="2302"/>
      <c r="F213" s="2302"/>
      <c r="G213" s="2303" t="s">
        <v>1885</v>
      </c>
      <c r="H213" s="2303"/>
      <c r="I213" s="2303"/>
      <c r="J213" s="2303"/>
      <c r="K213" s="2303"/>
      <c r="L213" s="2303"/>
      <c r="M213" s="2303"/>
      <c r="N213" s="2303"/>
      <c r="O213" s="2303"/>
      <c r="P213" s="2304"/>
      <c r="Q213" s="2304"/>
      <c r="R213" s="2304"/>
      <c r="S213" s="2304"/>
      <c r="T213" s="2304"/>
      <c r="U213" s="2305" t="s">
        <v>1885</v>
      </c>
      <c r="V213" s="2305"/>
      <c r="W213" s="2305"/>
      <c r="X213" s="2305"/>
      <c r="Y213" s="2305" t="s">
        <v>1885</v>
      </c>
      <c r="Z213" s="2305"/>
      <c r="AA213" s="2305"/>
      <c r="AB213" s="2305"/>
      <c r="AC213" s="2306" t="s">
        <v>1885</v>
      </c>
      <c r="AD213" s="2306"/>
      <c r="AE213" s="2306"/>
      <c r="AF213" s="2306"/>
      <c r="AG213" s="2298"/>
      <c r="AH213" s="2299"/>
      <c r="AI213" s="2299"/>
      <c r="AJ213" s="2299"/>
      <c r="AK213" s="230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01">
        <v>6</v>
      </c>
      <c r="D214" s="2302"/>
      <c r="E214" s="2302"/>
      <c r="F214" s="2302"/>
      <c r="G214" s="2303" t="s">
        <v>1885</v>
      </c>
      <c r="H214" s="2303"/>
      <c r="I214" s="2303"/>
      <c r="J214" s="2303"/>
      <c r="K214" s="2303"/>
      <c r="L214" s="2303"/>
      <c r="M214" s="2303"/>
      <c r="N214" s="2303"/>
      <c r="O214" s="2303"/>
      <c r="P214" s="2304"/>
      <c r="Q214" s="2304"/>
      <c r="R214" s="2304"/>
      <c r="S214" s="2304"/>
      <c r="T214" s="2304"/>
      <c r="U214" s="2305"/>
      <c r="V214" s="2305"/>
      <c r="W214" s="2305"/>
      <c r="X214" s="2305"/>
      <c r="Y214" s="2305"/>
      <c r="Z214" s="2305"/>
      <c r="AA214" s="2305"/>
      <c r="AB214" s="2305"/>
      <c r="AC214" s="2306" t="s">
        <v>1885</v>
      </c>
      <c r="AD214" s="2306"/>
      <c r="AE214" s="2306"/>
      <c r="AF214" s="2306"/>
      <c r="AG214" s="2298"/>
      <c r="AH214" s="2299"/>
      <c r="AI214" s="2299"/>
      <c r="AJ214" s="2299"/>
      <c r="AK214" s="230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01">
        <v>7</v>
      </c>
      <c r="D215" s="2302"/>
      <c r="E215" s="2302"/>
      <c r="F215" s="2302"/>
      <c r="G215" s="2303"/>
      <c r="H215" s="2303"/>
      <c r="I215" s="2303"/>
      <c r="J215" s="2303"/>
      <c r="K215" s="2303"/>
      <c r="L215" s="2303"/>
      <c r="M215" s="2303"/>
      <c r="N215" s="2303"/>
      <c r="O215" s="2303"/>
      <c r="P215" s="2304"/>
      <c r="Q215" s="2304"/>
      <c r="R215" s="2304"/>
      <c r="S215" s="2304"/>
      <c r="T215" s="2304"/>
      <c r="U215" s="2305"/>
      <c r="V215" s="2305"/>
      <c r="W215" s="2305"/>
      <c r="X215" s="2305"/>
      <c r="Y215" s="2305"/>
      <c r="Z215" s="2305"/>
      <c r="AA215" s="2305"/>
      <c r="AB215" s="2305"/>
      <c r="AC215" s="2306" t="s">
        <v>1885</v>
      </c>
      <c r="AD215" s="2306"/>
      <c r="AE215" s="2306"/>
      <c r="AF215" s="2306"/>
      <c r="AG215" s="2298"/>
      <c r="AH215" s="2299"/>
      <c r="AI215" s="2299"/>
      <c r="AJ215" s="2299"/>
      <c r="AK215" s="230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20" t="s">
        <v>2295</v>
      </c>
      <c r="D216" s="2321"/>
      <c r="E216" s="2321"/>
      <c r="F216" s="2321"/>
      <c r="G216" s="2321"/>
      <c r="H216" s="2321"/>
      <c r="I216" s="2321"/>
      <c r="J216" s="2321"/>
      <c r="K216" s="2321"/>
      <c r="L216" s="2321"/>
      <c r="M216" s="2321"/>
      <c r="N216" s="2321"/>
      <c r="O216" s="2321"/>
      <c r="P216" s="2322"/>
      <c r="Q216" s="2322"/>
      <c r="R216" s="2322"/>
      <c r="S216" s="2322"/>
      <c r="T216" s="2322"/>
      <c r="U216" s="2323">
        <f>-SUM(U209:U215)</f>
        <v>0</v>
      </c>
      <c r="V216" s="2323"/>
      <c r="W216" s="2323"/>
      <c r="X216" s="2323"/>
      <c r="Y216" s="2323">
        <f>-SUM(Y209:Y215)</f>
        <v>0</v>
      </c>
      <c r="Z216" s="2323"/>
      <c r="AA216" s="2323"/>
      <c r="AB216" s="2323"/>
      <c r="AC216" s="2324">
        <f>-SUM(AC209:AC215)</f>
        <v>0</v>
      </c>
      <c r="AD216" s="2324"/>
      <c r="AE216" s="2324"/>
      <c r="AF216" s="2324"/>
      <c r="AG216" s="2325"/>
      <c r="AH216" s="2326"/>
      <c r="AI216" s="2326"/>
      <c r="AJ216" s="2326"/>
      <c r="AK216" s="232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8" t="s">
        <v>2293</v>
      </c>
      <c r="C221" s="2309"/>
      <c r="D221" s="2309"/>
      <c r="E221" s="2309"/>
      <c r="F221" s="2309"/>
      <c r="G221" s="2309"/>
      <c r="H221" s="2309"/>
      <c r="I221" s="2309"/>
      <c r="J221" s="2309"/>
      <c r="K221" s="2309"/>
      <c r="L221" s="2309"/>
      <c r="M221" s="2309"/>
      <c r="N221" s="2309"/>
      <c r="O221" s="2309"/>
      <c r="P221" s="2309"/>
      <c r="Q221" s="2309"/>
      <c r="R221" s="2309"/>
      <c r="S221" s="2309"/>
      <c r="T221" s="2309"/>
      <c r="U221" s="2309"/>
      <c r="V221" s="2309"/>
      <c r="W221" s="2309"/>
      <c r="X221" s="2309"/>
      <c r="Y221" s="2309"/>
      <c r="Z221" s="2309"/>
      <c r="AA221" s="2309"/>
      <c r="AB221" s="2309"/>
      <c r="AC221" s="2309"/>
      <c r="AD221" s="2309"/>
      <c r="AE221" s="2309"/>
      <c r="AF221" s="2309"/>
      <c r="AG221" s="2309"/>
      <c r="AH221" s="2309"/>
      <c r="AI221" s="2309"/>
      <c r="AJ221" s="2309"/>
      <c r="AK221" s="2309"/>
      <c r="AL221" s="2309"/>
      <c r="AM221" s="2309"/>
      <c r="AN221" s="2309"/>
      <c r="AO221" s="2309"/>
      <c r="AP221" s="2309"/>
      <c r="AQ221" s="2309"/>
      <c r="AR221" s="2309"/>
      <c r="AS221" s="2309"/>
      <c r="AT221" s="2309"/>
      <c r="AU221" s="2309"/>
      <c r="AV221" s="2309"/>
      <c r="AW221" s="2309"/>
      <c r="AX221" s="2309"/>
      <c r="AY221" s="2309"/>
      <c r="AZ221" s="2309"/>
      <c r="BA221" s="2309"/>
      <c r="BB221" s="2309"/>
      <c r="BC221" s="2309"/>
      <c r="BD221" s="2310"/>
      <c r="BE221" s="1194"/>
    </row>
    <row r="222" spans="1:57" ht="15.75" customHeight="1">
      <c r="A222" s="1190"/>
      <c r="B222" s="2311"/>
      <c r="C222" s="2312"/>
      <c r="D222" s="2312"/>
      <c r="E222" s="2312"/>
      <c r="F222" s="2312"/>
      <c r="G222" s="2312"/>
      <c r="H222" s="2312"/>
      <c r="I222" s="2312"/>
      <c r="J222" s="2312"/>
      <c r="K222" s="2312"/>
      <c r="L222" s="2312"/>
      <c r="M222" s="2312"/>
      <c r="N222" s="2312"/>
      <c r="O222" s="2312"/>
      <c r="P222" s="2312"/>
      <c r="Q222" s="2312"/>
      <c r="R222" s="2312"/>
      <c r="S222" s="2312"/>
      <c r="T222" s="2312"/>
      <c r="U222" s="2312"/>
      <c r="V222" s="2312"/>
      <c r="W222" s="2312"/>
      <c r="X222" s="2312"/>
      <c r="Y222" s="2312"/>
      <c r="Z222" s="2312"/>
      <c r="AA222" s="2312"/>
      <c r="AB222" s="2312"/>
      <c r="AC222" s="2312"/>
      <c r="AD222" s="2312"/>
      <c r="AE222" s="2312"/>
      <c r="AF222" s="2312"/>
      <c r="AG222" s="2312"/>
      <c r="AH222" s="2312"/>
      <c r="AI222" s="2312"/>
      <c r="AJ222" s="2312"/>
      <c r="AK222" s="2312"/>
      <c r="AL222" s="2312"/>
      <c r="AM222" s="2312"/>
      <c r="AN222" s="2312"/>
      <c r="AO222" s="2312"/>
      <c r="AP222" s="2312"/>
      <c r="AQ222" s="2312"/>
      <c r="AR222" s="2312"/>
      <c r="AS222" s="2312"/>
      <c r="AT222" s="2312"/>
      <c r="AU222" s="2312"/>
      <c r="AV222" s="2312"/>
      <c r="AW222" s="2312"/>
      <c r="AX222" s="2312"/>
      <c r="AY222" s="2312"/>
      <c r="AZ222" s="2312"/>
      <c r="BA222" s="2312"/>
      <c r="BB222" s="2312"/>
      <c r="BC222" s="2312"/>
      <c r="BD222" s="2313"/>
      <c r="BE222" s="1194"/>
    </row>
    <row r="223" spans="1:57" ht="15.75" customHeight="1">
      <c r="A223" s="1190"/>
      <c r="B223" s="2314" t="s">
        <v>2292</v>
      </c>
      <c r="C223" s="2315"/>
      <c r="D223" s="2315"/>
      <c r="E223" s="2315"/>
      <c r="F223" s="2315"/>
      <c r="G223" s="2315"/>
      <c r="H223" s="2315"/>
      <c r="I223" s="2315"/>
      <c r="J223" s="2315"/>
      <c r="K223" s="2315"/>
      <c r="L223" s="2315"/>
      <c r="M223" s="2315"/>
      <c r="N223" s="2315"/>
      <c r="O223" s="2315"/>
      <c r="P223" s="2315"/>
      <c r="Q223" s="2315"/>
      <c r="R223" s="2315"/>
      <c r="S223" s="2315"/>
      <c r="T223" s="2315"/>
      <c r="U223" s="2315"/>
      <c r="V223" s="2315"/>
      <c r="W223" s="2315"/>
      <c r="X223" s="2315"/>
      <c r="Y223" s="2315"/>
      <c r="Z223" s="2315"/>
      <c r="AA223" s="2315"/>
      <c r="AB223" s="2315"/>
      <c r="AC223" s="2315"/>
      <c r="AD223" s="2315"/>
      <c r="AE223" s="2315"/>
      <c r="AF223" s="2315"/>
      <c r="AG223" s="2315"/>
      <c r="AH223" s="2315"/>
      <c r="AI223" s="2315"/>
      <c r="AJ223" s="2315"/>
      <c r="AK223" s="2315"/>
      <c r="AL223" s="2315"/>
      <c r="AM223" s="2315"/>
      <c r="AN223" s="2315"/>
      <c r="AO223" s="2315"/>
      <c r="AP223" s="2315"/>
      <c r="AQ223" s="2315"/>
      <c r="AR223" s="2315"/>
      <c r="AS223" s="2315"/>
      <c r="AT223" s="2315"/>
      <c r="AU223" s="2315"/>
      <c r="AV223" s="2315"/>
      <c r="AW223" s="2315"/>
      <c r="AX223" s="2315"/>
      <c r="AY223" s="2315"/>
      <c r="AZ223" s="2315"/>
      <c r="BA223" s="2315"/>
      <c r="BB223" s="2315"/>
      <c r="BC223" s="2315"/>
      <c r="BD223" s="2316"/>
      <c r="BE223" s="1194"/>
    </row>
    <row r="224" spans="1:57" ht="15.75" customHeight="1">
      <c r="A224" s="1190"/>
      <c r="B224" s="2314" t="s">
        <v>2291</v>
      </c>
      <c r="C224" s="2315"/>
      <c r="D224" s="2315"/>
      <c r="E224" s="2315"/>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2315"/>
      <c r="AD224" s="2315"/>
      <c r="AE224" s="2315"/>
      <c r="AF224" s="2315"/>
      <c r="AG224" s="2315"/>
      <c r="AH224" s="2315"/>
      <c r="AI224" s="2315"/>
      <c r="AJ224" s="2315"/>
      <c r="AK224" s="2315"/>
      <c r="AL224" s="2315"/>
      <c r="AM224" s="2315"/>
      <c r="AN224" s="2315"/>
      <c r="AO224" s="2315"/>
      <c r="AP224" s="2315"/>
      <c r="AQ224" s="2315"/>
      <c r="AR224" s="2315"/>
      <c r="AS224" s="2315"/>
      <c r="AT224" s="2315"/>
      <c r="AU224" s="2315"/>
      <c r="AV224" s="2315"/>
      <c r="AW224" s="2315"/>
      <c r="AX224" s="2315"/>
      <c r="AY224" s="2315"/>
      <c r="AZ224" s="2315"/>
      <c r="BA224" s="2315"/>
      <c r="BB224" s="2315"/>
      <c r="BC224" s="2315"/>
      <c r="BD224" s="231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7" t="s">
        <v>2290</v>
      </c>
      <c r="C226" s="2207"/>
      <c r="D226" s="2207"/>
      <c r="E226" s="2207"/>
      <c r="F226" s="2207"/>
      <c r="G226" s="2207"/>
      <c r="H226" s="2207"/>
      <c r="I226" s="2207"/>
      <c r="J226" s="2207"/>
      <c r="K226" s="2207"/>
      <c r="L226" s="2207"/>
      <c r="M226" s="2207"/>
      <c r="N226" s="2207"/>
      <c r="O226" s="2207"/>
      <c r="P226" s="2207"/>
      <c r="Q226" s="2207"/>
      <c r="R226" s="2207"/>
      <c r="S226" s="2207"/>
      <c r="T226" s="2207"/>
      <c r="U226" s="2207"/>
      <c r="V226" s="2207"/>
      <c r="W226" s="2207"/>
      <c r="X226" s="2207"/>
      <c r="Y226" s="2207"/>
      <c r="Z226" s="2207"/>
      <c r="AA226" s="2207"/>
      <c r="AB226" s="2207"/>
      <c r="AC226" s="2207"/>
      <c r="AD226" s="2207"/>
      <c r="AE226" s="2207"/>
      <c r="AF226" s="2207"/>
      <c r="AG226" s="2207"/>
      <c r="AH226" s="2207"/>
      <c r="AI226" s="2207"/>
      <c r="AJ226" s="2207"/>
      <c r="AK226" s="2207"/>
      <c r="AL226" s="2207"/>
      <c r="AM226" s="2207"/>
      <c r="AN226" s="2207"/>
      <c r="AO226" s="2207"/>
      <c r="AP226" s="2207"/>
      <c r="AQ226" s="2207"/>
      <c r="AR226" s="2207"/>
      <c r="AS226" s="2207"/>
      <c r="AT226" s="2207"/>
      <c r="AU226" s="2207"/>
      <c r="AV226" s="2207"/>
      <c r="AW226" s="2207"/>
      <c r="AX226" s="2207"/>
      <c r="AY226" s="2207"/>
      <c r="AZ226" s="2207"/>
      <c r="BA226" s="2207"/>
      <c r="BB226" s="2207"/>
      <c r="BC226" s="2207"/>
      <c r="BD226" s="231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9" t="s">
        <v>2288</v>
      </c>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7" t="s">
        <v>2287</v>
      </c>
      <c r="I232" s="2337"/>
      <c r="J232" s="2337"/>
      <c r="K232" s="2337"/>
      <c r="L232" s="2337"/>
      <c r="M232" s="2337"/>
      <c r="N232" s="2337"/>
      <c r="O232" s="2337"/>
      <c r="P232" s="2337"/>
      <c r="Q232" s="2337"/>
      <c r="R232" s="2337"/>
      <c r="S232" s="2337"/>
      <c r="T232" s="2337"/>
      <c r="U232" s="2337"/>
      <c r="V232" s="2337"/>
      <c r="W232" s="2337"/>
      <c r="X232" s="2337"/>
      <c r="Y232" s="2337"/>
      <c r="Z232" s="2337"/>
      <c r="AA232" s="2337"/>
      <c r="AB232" s="2337"/>
      <c r="AC232" s="2337"/>
      <c r="AD232" s="2337"/>
      <c r="AE232" s="2337"/>
      <c r="AF232" s="2337"/>
      <c r="AG232" s="2337"/>
      <c r="AH232" s="2337"/>
      <c r="AI232" s="2337"/>
      <c r="AJ232" s="2337"/>
      <c r="AK232" s="2337"/>
      <c r="AL232" s="2337"/>
      <c r="AM232" s="2337"/>
      <c r="AN232" s="2337"/>
      <c r="AO232" s="2337"/>
      <c r="AP232" s="2337"/>
      <c r="AQ232" s="2337"/>
      <c r="AR232" s="2337"/>
      <c r="AS232" s="2337"/>
      <c r="AT232" s="2337"/>
      <c r="AU232" s="2337"/>
      <c r="AV232" s="2337"/>
      <c r="AW232" s="2337"/>
      <c r="AX232" s="2337"/>
      <c r="AY232" s="2337"/>
      <c r="AZ232" s="2337"/>
      <c r="BA232" s="1190"/>
      <c r="BB232" s="1190"/>
      <c r="BC232" s="1190"/>
      <c r="BD232" s="1194"/>
      <c r="BE232" s="1194"/>
    </row>
    <row r="233" spans="1:57" ht="15.75" customHeight="1">
      <c r="A233" s="1190"/>
      <c r="B233" s="1189"/>
      <c r="C233" s="1190"/>
      <c r="D233" s="1190"/>
      <c r="E233" s="1190"/>
      <c r="F233" s="1190"/>
      <c r="G233" s="1190"/>
      <c r="H233" s="2337"/>
      <c r="I233" s="2337"/>
      <c r="J233" s="2337"/>
      <c r="K233" s="2337"/>
      <c r="L233" s="2337"/>
      <c r="M233" s="2337"/>
      <c r="N233" s="2337"/>
      <c r="O233" s="2337"/>
      <c r="P233" s="2337"/>
      <c r="Q233" s="2337"/>
      <c r="R233" s="2337"/>
      <c r="S233" s="2337"/>
      <c r="T233" s="2337"/>
      <c r="U233" s="2337"/>
      <c r="V233" s="2337"/>
      <c r="W233" s="2337"/>
      <c r="X233" s="2337"/>
      <c r="Y233" s="2337"/>
      <c r="Z233" s="2337"/>
      <c r="AA233" s="2337"/>
      <c r="AB233" s="2337"/>
      <c r="AC233" s="2337"/>
      <c r="AD233" s="2337"/>
      <c r="AE233" s="2337"/>
      <c r="AF233" s="2337"/>
      <c r="AG233" s="2337"/>
      <c r="AH233" s="2337"/>
      <c r="AI233" s="2337"/>
      <c r="AJ233" s="2337"/>
      <c r="AK233" s="2337"/>
      <c r="AL233" s="2337"/>
      <c r="AM233" s="2337"/>
      <c r="AN233" s="2337"/>
      <c r="AO233" s="2337"/>
      <c r="AP233" s="2337"/>
      <c r="AQ233" s="2337"/>
      <c r="AR233" s="2337"/>
      <c r="AS233" s="2337"/>
      <c r="AT233" s="2337"/>
      <c r="AU233" s="2337"/>
      <c r="AV233" s="2337"/>
      <c r="AW233" s="2337"/>
      <c r="AX233" s="2337"/>
      <c r="AY233" s="2337"/>
      <c r="AZ233" s="2337"/>
      <c r="BA233" s="1190"/>
      <c r="BB233" s="1190"/>
      <c r="BC233" s="1190"/>
      <c r="BD233" s="1194"/>
      <c r="BE233" s="1194"/>
    </row>
    <row r="234" spans="1:57" ht="15.75" customHeight="1">
      <c r="A234" s="1190"/>
      <c r="B234" s="1189"/>
      <c r="C234" s="1190"/>
      <c r="D234" s="1190"/>
      <c r="E234" s="1190"/>
      <c r="F234" s="1190"/>
      <c r="G234" s="1190"/>
      <c r="H234" s="2337"/>
      <c r="I234" s="2337"/>
      <c r="J234" s="2337"/>
      <c r="K234" s="2337"/>
      <c r="L234" s="2337"/>
      <c r="M234" s="2337"/>
      <c r="N234" s="2337"/>
      <c r="O234" s="2337"/>
      <c r="P234" s="2337"/>
      <c r="Q234" s="2337"/>
      <c r="R234" s="2337"/>
      <c r="S234" s="2337"/>
      <c r="T234" s="2337"/>
      <c r="U234" s="2337"/>
      <c r="V234" s="2337"/>
      <c r="W234" s="2337"/>
      <c r="X234" s="2337"/>
      <c r="Y234" s="2337"/>
      <c r="Z234" s="2337"/>
      <c r="AA234" s="2337"/>
      <c r="AB234" s="2337"/>
      <c r="AC234" s="2337"/>
      <c r="AD234" s="2337"/>
      <c r="AE234" s="2337"/>
      <c r="AF234" s="2337"/>
      <c r="AG234" s="2337"/>
      <c r="AH234" s="2337"/>
      <c r="AI234" s="2337"/>
      <c r="AJ234" s="2337"/>
      <c r="AK234" s="2337"/>
      <c r="AL234" s="2337"/>
      <c r="AM234" s="2337"/>
      <c r="AN234" s="2337"/>
      <c r="AO234" s="2337"/>
      <c r="AP234" s="2337"/>
      <c r="AQ234" s="2337"/>
      <c r="AR234" s="2337"/>
      <c r="AS234" s="2337"/>
      <c r="AT234" s="2337"/>
      <c r="AU234" s="2337"/>
      <c r="AV234" s="2337"/>
      <c r="AW234" s="2337"/>
      <c r="AX234" s="2337"/>
      <c r="AY234" s="2337"/>
      <c r="AZ234" s="2337"/>
      <c r="BA234" s="1190"/>
      <c r="BB234" s="1190"/>
      <c r="BC234" s="1190"/>
      <c r="BD234" s="1194"/>
      <c r="BE234" s="1194"/>
    </row>
    <row r="235" spans="1:57" ht="15.75" customHeight="1">
      <c r="A235" s="1190"/>
      <c r="B235" s="1189"/>
      <c r="C235" s="1190"/>
      <c r="D235" s="1190"/>
      <c r="E235" s="1190"/>
      <c r="F235" s="1190"/>
      <c r="G235" s="1190"/>
      <c r="H235" s="2337"/>
      <c r="I235" s="2337"/>
      <c r="J235" s="2337"/>
      <c r="K235" s="2337"/>
      <c r="L235" s="2337"/>
      <c r="M235" s="2337"/>
      <c r="N235" s="2337"/>
      <c r="O235" s="2337"/>
      <c r="P235" s="2337"/>
      <c r="Q235" s="2337"/>
      <c r="R235" s="2337"/>
      <c r="S235" s="2337"/>
      <c r="T235" s="2337"/>
      <c r="U235" s="2337"/>
      <c r="V235" s="2337"/>
      <c r="W235" s="2337"/>
      <c r="X235" s="2337"/>
      <c r="Y235" s="2337"/>
      <c r="Z235" s="2337"/>
      <c r="AA235" s="2337"/>
      <c r="AB235" s="2337"/>
      <c r="AC235" s="2337"/>
      <c r="AD235" s="2337"/>
      <c r="AE235" s="2337"/>
      <c r="AF235" s="2337"/>
      <c r="AG235" s="2337"/>
      <c r="AH235" s="2337"/>
      <c r="AI235" s="2337"/>
      <c r="AJ235" s="2337"/>
      <c r="AK235" s="2337"/>
      <c r="AL235" s="2337"/>
      <c r="AM235" s="2337"/>
      <c r="AN235" s="2337"/>
      <c r="AO235" s="2337"/>
      <c r="AP235" s="2337"/>
      <c r="AQ235" s="2337"/>
      <c r="AR235" s="2337"/>
      <c r="AS235" s="2337"/>
      <c r="AT235" s="2337"/>
      <c r="AU235" s="2337"/>
      <c r="AV235" s="2337"/>
      <c r="AW235" s="2337"/>
      <c r="AX235" s="2337"/>
      <c r="AY235" s="2337"/>
      <c r="AZ235" s="233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8" t="s">
        <v>2286</v>
      </c>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2338"/>
      <c r="AD237" s="2338"/>
      <c r="AE237" s="2338"/>
      <c r="AF237" s="2338"/>
      <c r="AG237" s="2338"/>
      <c r="AH237" s="2338"/>
      <c r="AI237" s="2338"/>
      <c r="AJ237" s="2338"/>
      <c r="AK237" s="2338"/>
      <c r="AL237" s="2338"/>
      <c r="AM237" s="2338"/>
      <c r="AN237" s="2338"/>
      <c r="AO237" s="2338"/>
      <c r="AP237" s="2338"/>
      <c r="AQ237" s="2338"/>
      <c r="AR237" s="2338"/>
      <c r="AS237" s="2338"/>
      <c r="AT237" s="2338"/>
      <c r="AU237" s="2338"/>
      <c r="AV237" s="233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8" t="s">
        <v>2285</v>
      </c>
      <c r="I239" s="2328"/>
      <c r="J239" s="2328"/>
      <c r="K239" s="2328"/>
      <c r="L239" s="1239"/>
      <c r="M239" s="1239"/>
      <c r="N239" s="1239"/>
      <c r="O239" s="1239"/>
      <c r="P239" s="1239"/>
      <c r="Q239" s="1239"/>
      <c r="R239" s="1239"/>
      <c r="S239" s="2339"/>
      <c r="T239" s="2340"/>
      <c r="U239" s="2340"/>
      <c r="V239" s="2340"/>
      <c r="W239" s="2340"/>
      <c r="X239" s="2340"/>
      <c r="Y239" s="2340"/>
      <c r="Z239" s="2340"/>
      <c r="AA239" s="2340"/>
      <c r="AB239" s="2340"/>
      <c r="AC239" s="2340"/>
      <c r="AD239" s="2340"/>
      <c r="AE239" s="2340"/>
      <c r="AF239" s="2340"/>
      <c r="AG239" s="2340"/>
      <c r="AH239" s="2340"/>
      <c r="AI239" s="2340"/>
      <c r="AJ239" s="234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8" t="s">
        <v>2284</v>
      </c>
      <c r="I241" s="2328"/>
      <c r="J241" s="2328"/>
      <c r="K241" s="1241"/>
      <c r="L241" s="1239"/>
      <c r="M241" s="1239"/>
      <c r="N241" s="1239"/>
      <c r="O241" s="1239"/>
      <c r="P241" s="1239"/>
      <c r="Q241" s="1239"/>
      <c r="R241" s="1239"/>
      <c r="S241" s="2329"/>
      <c r="T241" s="2330"/>
      <c r="U241" s="2330"/>
      <c r="V241" s="2330"/>
      <c r="W241" s="2330"/>
      <c r="X241" s="2330"/>
      <c r="Y241" s="2330"/>
      <c r="Z241" s="2330"/>
      <c r="AA241" s="2330"/>
      <c r="AB241" s="2330"/>
      <c r="AC241" s="2330"/>
      <c r="AD241" s="2330"/>
      <c r="AE241" s="2330"/>
      <c r="AF241" s="2330"/>
      <c r="AG241" s="2330"/>
      <c r="AH241" s="2330"/>
      <c r="AI241" s="2330"/>
      <c r="AJ241" s="233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8" t="s">
        <v>442</v>
      </c>
      <c r="I243" s="2328"/>
      <c r="J243" s="1241"/>
      <c r="K243" s="1241"/>
      <c r="L243" s="1239"/>
      <c r="M243" s="1239"/>
      <c r="N243" s="1239"/>
      <c r="O243" s="1239"/>
      <c r="P243" s="1239"/>
      <c r="Q243" s="1239"/>
      <c r="R243" s="1239"/>
      <c r="S243" s="2329"/>
      <c r="T243" s="2330"/>
      <c r="U243" s="2330"/>
      <c r="V243" s="2330"/>
      <c r="W243" s="2330"/>
      <c r="X243" s="2330"/>
      <c r="Y243" s="2330"/>
      <c r="Z243" s="2330"/>
      <c r="AA243" s="2330"/>
      <c r="AB243" s="2330"/>
      <c r="AC243" s="2330"/>
      <c r="AD243" s="2330"/>
      <c r="AE243" s="2330"/>
      <c r="AF243" s="2330"/>
      <c r="AG243" s="2330"/>
      <c r="AH243" s="2330"/>
      <c r="AI243" s="2330"/>
      <c r="AJ243" s="233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32" t="s">
        <v>2283</v>
      </c>
      <c r="I245" s="2332"/>
      <c r="J245" s="2332"/>
      <c r="K245" s="2332"/>
      <c r="L245" s="2332"/>
      <c r="M245" s="2332"/>
      <c r="N245" s="2332"/>
      <c r="O245" s="2332"/>
      <c r="P245" s="1239"/>
      <c r="Q245" s="1239"/>
      <c r="R245" s="1239"/>
      <c r="S245" s="2329"/>
      <c r="T245" s="2330"/>
      <c r="U245" s="2330"/>
      <c r="V245" s="2330"/>
      <c r="W245" s="2330"/>
      <c r="X245" s="2330"/>
      <c r="Y245" s="2330"/>
      <c r="Z245" s="2330"/>
      <c r="AA245" s="2330"/>
      <c r="AB245" s="2330"/>
      <c r="AC245" s="2330"/>
      <c r="AD245" s="2330"/>
      <c r="AE245" s="2330"/>
      <c r="AF245" s="2330"/>
      <c r="AG245" s="2330"/>
      <c r="AH245" s="2330"/>
      <c r="AI245" s="2330"/>
      <c r="AJ245" s="233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33" t="s">
        <v>2282</v>
      </c>
      <c r="I247" s="2333"/>
      <c r="J247" s="1239"/>
      <c r="K247" s="1239"/>
      <c r="L247" s="1239"/>
      <c r="M247" s="1239"/>
      <c r="N247" s="1239"/>
      <c r="O247" s="1239"/>
      <c r="P247" s="1239"/>
      <c r="Q247" s="1239"/>
      <c r="R247" s="1239"/>
      <c r="S247" s="2334"/>
      <c r="T247" s="2335"/>
      <c r="U247" s="2335"/>
      <c r="V247" s="2335"/>
      <c r="W247" s="2335"/>
      <c r="X247" s="2335"/>
      <c r="Y247" s="2335"/>
      <c r="Z247" s="2335"/>
      <c r="AA247" s="2335"/>
      <c r="AB247" s="2335"/>
      <c r="AC247" s="2335"/>
      <c r="AD247" s="2335"/>
      <c r="AE247" s="2335"/>
      <c r="AF247" s="2335"/>
      <c r="AG247" s="2335"/>
      <c r="AH247" s="2335"/>
      <c r="AI247" s="2335"/>
      <c r="AJ247" s="233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9" sqref="AB59:AF59"/>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1239</v>
      </c>
    </row>
    <row r="7" spans="1:40" ht="12.9" customHeight="1">
      <c r="B7" s="405"/>
      <c r="C7" s="406"/>
      <c r="D7" s="406"/>
      <c r="E7" s="406"/>
      <c r="F7" s="406"/>
      <c r="G7" s="406"/>
      <c r="H7" s="406"/>
      <c r="I7" s="406"/>
      <c r="J7" s="406"/>
      <c r="K7" s="406"/>
      <c r="L7" s="406"/>
      <c r="M7" s="406"/>
      <c r="N7" s="406"/>
      <c r="O7" s="406"/>
      <c r="P7" s="406"/>
      <c r="Q7" s="406"/>
      <c r="R7" s="406"/>
      <c r="S7" s="406"/>
      <c r="T7" s="2375" t="str">
        <f xml:space="preserve"> IF(T25=100%,'Sources and Basis Breakdown'!G2,'Sources and Basis Breakdown'!F2)</f>
        <v>30% PVC for New Const/
Rehabilitation
DDA/QCT
Building(s)</v>
      </c>
      <c r="U7" s="2375"/>
      <c r="V7" s="2375"/>
      <c r="W7" s="2375"/>
      <c r="X7" s="2375"/>
      <c r="Y7" s="2375" t="str">
        <f>IF(T25=100%,"",'Sources and Basis Breakdown'!G2)</f>
        <v>30% PVC for New Const/
Rehabilitation
NON-DDA/
NON-QCT Building(s)</v>
      </c>
      <c r="Z7" s="2375"/>
      <c r="AA7" s="2375"/>
      <c r="AB7" s="2375"/>
      <c r="AC7" s="2375"/>
      <c r="AD7" s="2375" t="str">
        <f xml:space="preserve"> IF(T25=100%, 'Sources and Basis Breakdown'!J2,'Sources and Basis Breakdown'!I2)</f>
        <v>30% PVC for Acquisition
DDA/QCT Building(s)</v>
      </c>
      <c r="AE7" s="2375"/>
      <c r="AF7" s="2375"/>
      <c r="AG7" s="2375"/>
      <c r="AH7" s="2375"/>
      <c r="AI7" s="2375" t="str">
        <f>IF(T25=100%,"",'Sources and Basis Breakdown'!J2)</f>
        <v>30% PVC for Acquisition
NON-DDA/
NON-QCT Building(s)</v>
      </c>
      <c r="AJ7" s="2375"/>
      <c r="AK7" s="2375"/>
      <c r="AL7" s="2375"/>
      <c r="AM7" s="2375"/>
    </row>
    <row r="8" spans="1:40" ht="12.9" customHeight="1">
      <c r="B8" s="407"/>
      <c r="T8" s="2375"/>
      <c r="U8" s="2375"/>
      <c r="V8" s="2375"/>
      <c r="W8" s="2375"/>
      <c r="X8" s="2375"/>
      <c r="Y8" s="2375"/>
      <c r="Z8" s="2375"/>
      <c r="AA8" s="2375"/>
      <c r="AB8" s="2375"/>
      <c r="AC8" s="2375"/>
      <c r="AD8" s="2375"/>
      <c r="AE8" s="2375"/>
      <c r="AF8" s="2375"/>
      <c r="AG8" s="2375"/>
      <c r="AH8" s="2375"/>
      <c r="AI8" s="2375"/>
      <c r="AJ8" s="2375"/>
      <c r="AK8" s="2375"/>
      <c r="AL8" s="2375"/>
      <c r="AM8" s="2375"/>
    </row>
    <row r="9" spans="1:40" ht="12.9" customHeight="1">
      <c r="B9" s="407"/>
      <c r="T9" s="2375"/>
      <c r="U9" s="2375"/>
      <c r="V9" s="2375"/>
      <c r="W9" s="2375"/>
      <c r="X9" s="2375"/>
      <c r="Y9" s="2375"/>
      <c r="Z9" s="2375"/>
      <c r="AA9" s="2375"/>
      <c r="AB9" s="2375"/>
      <c r="AC9" s="2375"/>
      <c r="AD9" s="2375"/>
      <c r="AE9" s="2375"/>
      <c r="AF9" s="2375"/>
      <c r="AG9" s="2375"/>
      <c r="AH9" s="2375"/>
      <c r="AI9" s="2375"/>
      <c r="AJ9" s="2375"/>
      <c r="AK9" s="2375"/>
      <c r="AL9" s="2375"/>
      <c r="AM9" s="2375"/>
    </row>
    <row r="10" spans="1:40" ht="12.9" customHeight="1">
      <c r="B10" s="408"/>
      <c r="C10" s="409"/>
      <c r="D10" s="409"/>
      <c r="E10" s="409"/>
      <c r="F10" s="409"/>
      <c r="G10" s="409"/>
      <c r="H10" s="409"/>
      <c r="I10" s="409"/>
      <c r="J10" s="409"/>
      <c r="K10" s="409"/>
      <c r="L10" s="409"/>
      <c r="M10" s="409"/>
      <c r="N10" s="409"/>
      <c r="O10" s="409"/>
      <c r="P10" s="409"/>
      <c r="Q10" s="409"/>
      <c r="R10" s="409"/>
      <c r="S10" s="409"/>
      <c r="T10" s="2375"/>
      <c r="U10" s="2375"/>
      <c r="V10" s="2375"/>
      <c r="W10" s="2375"/>
      <c r="X10" s="2375"/>
      <c r="Y10" s="2375"/>
      <c r="Z10" s="2375"/>
      <c r="AA10" s="2375"/>
      <c r="AB10" s="2375"/>
      <c r="AC10" s="2375"/>
      <c r="AD10" s="2375"/>
      <c r="AE10" s="2375"/>
      <c r="AF10" s="2375"/>
      <c r="AG10" s="2375"/>
      <c r="AH10" s="2375"/>
      <c r="AI10" s="2375"/>
      <c r="AJ10" s="2375"/>
      <c r="AK10" s="2375"/>
      <c r="AL10" s="2375"/>
      <c r="AM10" s="2375"/>
    </row>
    <row r="11" spans="1:40" ht="12.9" customHeight="1">
      <c r="B11" s="2354" t="s">
        <v>375</v>
      </c>
      <c r="C11" s="2355"/>
      <c r="D11" s="2355"/>
      <c r="E11" s="2355"/>
      <c r="F11" s="2355"/>
      <c r="G11" s="2355"/>
      <c r="H11" s="2355"/>
      <c r="I11" s="2355"/>
      <c r="J11" s="2355"/>
      <c r="K11" s="2355"/>
      <c r="L11" s="2355"/>
      <c r="M11" s="2355"/>
      <c r="N11" s="2355"/>
      <c r="O11" s="2355"/>
      <c r="P11" s="2355"/>
      <c r="Q11" s="2355"/>
      <c r="R11" s="2355"/>
      <c r="S11" s="2356"/>
      <c r="T11" s="2376">
        <f>IF('Sources and Basis Breakdown'!F107=0,'Sources and Basis Breakdown'!E107,'Sources and Basis Breakdown'!F107)</f>
        <v>35957052</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 customHeight="1">
      <c r="B12" s="2369" t="s">
        <v>498</v>
      </c>
      <c r="C12" s="1286"/>
      <c r="D12" s="1286"/>
      <c r="E12" s="1286"/>
      <c r="F12" s="1286"/>
      <c r="G12" s="1286"/>
      <c r="H12" s="1286"/>
      <c r="I12" s="1286"/>
      <c r="J12" s="1286"/>
      <c r="K12" s="1286"/>
      <c r="L12" s="1286"/>
      <c r="M12" s="1286"/>
      <c r="N12" s="1286"/>
      <c r="O12" s="1286"/>
      <c r="P12" s="1286"/>
      <c r="Q12" s="1286"/>
      <c r="R12" s="1286"/>
      <c r="S12" s="2370"/>
      <c r="T12" s="2342"/>
      <c r="U12" s="2343"/>
      <c r="V12" s="2343"/>
      <c r="W12" s="2343"/>
      <c r="X12" s="2344"/>
      <c r="Y12" s="2342"/>
      <c r="Z12" s="2343"/>
      <c r="AA12" s="2343"/>
      <c r="AB12" s="2343"/>
      <c r="AC12" s="2344"/>
      <c r="AD12" s="2342"/>
      <c r="AE12" s="2343"/>
      <c r="AF12" s="2343"/>
      <c r="AG12" s="2343"/>
      <c r="AH12" s="2344"/>
      <c r="AI12" s="2342"/>
      <c r="AJ12" s="2343"/>
      <c r="AK12" s="2343"/>
      <c r="AL12" s="2343"/>
      <c r="AM12" s="2344"/>
    </row>
    <row r="13" spans="1:40" ht="12.9" customHeight="1">
      <c r="B13" s="435"/>
      <c r="C13" s="2371" t="s">
        <v>499</v>
      </c>
      <c r="D13" s="2371"/>
      <c r="E13" s="2371"/>
      <c r="F13" s="2371"/>
      <c r="G13" s="2371"/>
      <c r="H13" s="2371"/>
      <c r="I13" s="2371"/>
      <c r="J13" s="2371"/>
      <c r="K13" s="2371"/>
      <c r="L13" s="2371"/>
      <c r="M13" s="2371"/>
      <c r="N13" s="2371"/>
      <c r="O13" s="2371"/>
      <c r="P13" s="2371"/>
      <c r="Q13" s="2371"/>
      <c r="R13" s="2371"/>
      <c r="S13" s="2372"/>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 customHeight="1">
      <c r="B14" s="435"/>
      <c r="C14" s="2371" t="s">
        <v>500</v>
      </c>
      <c r="D14" s="2371"/>
      <c r="E14" s="2371"/>
      <c r="F14" s="2371"/>
      <c r="G14" s="2371"/>
      <c r="H14" s="2371"/>
      <c r="I14" s="2371"/>
      <c r="J14" s="2371"/>
      <c r="K14" s="2371"/>
      <c r="L14" s="2371"/>
      <c r="M14" s="2371"/>
      <c r="N14" s="2371"/>
      <c r="O14" s="2371"/>
      <c r="P14" s="2371"/>
      <c r="Q14" s="2371"/>
      <c r="R14" s="2371"/>
      <c r="S14" s="2372"/>
      <c r="T14" s="2345"/>
      <c r="U14" s="2346"/>
      <c r="V14" s="2346"/>
      <c r="W14" s="2346"/>
      <c r="X14" s="2346"/>
      <c r="Y14" s="2345"/>
      <c r="Z14" s="2346"/>
      <c r="AA14" s="2346"/>
      <c r="AB14" s="2346"/>
      <c r="AC14" s="2346"/>
      <c r="AD14" s="2346"/>
      <c r="AE14" s="2346"/>
      <c r="AF14" s="2346"/>
      <c r="AG14" s="2346"/>
      <c r="AH14" s="2346"/>
      <c r="AI14" s="2346"/>
      <c r="AJ14" s="2346"/>
      <c r="AK14" s="2346"/>
      <c r="AL14" s="2346"/>
      <c r="AM14" s="2346"/>
    </row>
    <row r="15" spans="1:40" ht="12.9" customHeight="1">
      <c r="B15" s="435"/>
      <c r="C15" s="2371" t="s">
        <v>501</v>
      </c>
      <c r="D15" s="2371"/>
      <c r="E15" s="2371"/>
      <c r="F15" s="2371"/>
      <c r="G15" s="2371"/>
      <c r="H15" s="2371"/>
      <c r="I15" s="2371"/>
      <c r="J15" s="2371"/>
      <c r="K15" s="2371"/>
      <c r="L15" s="2371"/>
      <c r="M15" s="2371"/>
      <c r="N15" s="2371"/>
      <c r="O15" s="2371"/>
      <c r="P15" s="2371"/>
      <c r="Q15" s="2371"/>
      <c r="R15" s="2371"/>
      <c r="S15" s="2372"/>
      <c r="T15" s="2345"/>
      <c r="U15" s="2346"/>
      <c r="V15" s="2346"/>
      <c r="W15" s="2346"/>
      <c r="X15" s="2346"/>
      <c r="Y15" s="2345"/>
      <c r="Z15" s="2346"/>
      <c r="AA15" s="2346"/>
      <c r="AB15" s="2346"/>
      <c r="AC15" s="2346"/>
      <c r="AD15" s="2346"/>
      <c r="AE15" s="2346"/>
      <c r="AF15" s="2346"/>
      <c r="AG15" s="2346"/>
      <c r="AH15" s="2346"/>
      <c r="AI15" s="2346"/>
      <c r="AJ15" s="2346"/>
      <c r="AK15" s="2346"/>
      <c r="AL15" s="2346"/>
      <c r="AM15" s="2346"/>
    </row>
    <row r="16" spans="1:40" ht="12.9" customHeight="1">
      <c r="B16" s="435"/>
      <c r="C16" s="2371" t="s">
        <v>806</v>
      </c>
      <c r="D16" s="2371"/>
      <c r="E16" s="2371"/>
      <c r="F16" s="2371"/>
      <c r="G16" s="2371"/>
      <c r="H16" s="2371"/>
      <c r="I16" s="2371"/>
      <c r="J16" s="2371"/>
      <c r="K16" s="2371"/>
      <c r="L16" s="2371"/>
      <c r="M16" s="2371"/>
      <c r="N16" s="2371"/>
      <c r="O16" s="2371"/>
      <c r="P16" s="2371"/>
      <c r="Q16" s="2371"/>
      <c r="R16" s="2371"/>
      <c r="S16" s="2372"/>
      <c r="T16" s="2345"/>
      <c r="U16" s="2346"/>
      <c r="V16" s="2346"/>
      <c r="W16" s="2346"/>
      <c r="X16" s="2346"/>
      <c r="Y16" s="2345"/>
      <c r="Z16" s="2346"/>
      <c r="AA16" s="2346"/>
      <c r="AB16" s="2346"/>
      <c r="AC16" s="2346"/>
      <c r="AD16" s="2346"/>
      <c r="AE16" s="2346"/>
      <c r="AF16" s="2346"/>
      <c r="AG16" s="2346"/>
      <c r="AH16" s="2346"/>
      <c r="AI16" s="2346"/>
      <c r="AJ16" s="2346"/>
      <c r="AK16" s="2346"/>
      <c r="AL16" s="2346"/>
      <c r="AM16" s="2346"/>
    </row>
    <row r="17" spans="1:40" ht="12.9" customHeight="1">
      <c r="B17" s="435"/>
      <c r="C17" s="2371" t="s">
        <v>502</v>
      </c>
      <c r="D17" s="2371"/>
      <c r="E17" s="2371"/>
      <c r="F17" s="2371"/>
      <c r="G17" s="2371"/>
      <c r="H17" s="2371"/>
      <c r="I17" s="2371"/>
      <c r="J17" s="2371"/>
      <c r="K17" s="2371"/>
      <c r="L17" s="2371"/>
      <c r="M17" s="2371"/>
      <c r="N17" s="2371"/>
      <c r="O17" s="2371"/>
      <c r="P17" s="2371"/>
      <c r="Q17" s="2371"/>
      <c r="R17" s="2371"/>
      <c r="S17" s="2372"/>
      <c r="T17" s="2345"/>
      <c r="U17" s="2346"/>
      <c r="V17" s="2346"/>
      <c r="W17" s="2346"/>
      <c r="X17" s="2346"/>
      <c r="Y17" s="2345"/>
      <c r="Z17" s="2346"/>
      <c r="AA17" s="2346"/>
      <c r="AB17" s="2346"/>
      <c r="AC17" s="2346"/>
      <c r="AD17" s="2346"/>
      <c r="AE17" s="2346"/>
      <c r="AF17" s="2346"/>
      <c r="AG17" s="2346"/>
      <c r="AH17" s="2346"/>
      <c r="AI17" s="2346"/>
      <c r="AJ17" s="2346"/>
      <c r="AK17" s="2346"/>
      <c r="AL17" s="2346"/>
      <c r="AM17" s="2346"/>
    </row>
    <row r="18" spans="1:40" ht="12.9" customHeight="1">
      <c r="A18"/>
      <c r="B18" s="1150"/>
      <c r="C18" s="1828" t="s">
        <v>961</v>
      </c>
      <c r="D18" s="1828"/>
      <c r="E18" s="1828"/>
      <c r="F18" s="1828"/>
      <c r="G18" s="1828"/>
      <c r="H18" s="1828"/>
      <c r="I18" s="1828"/>
      <c r="J18" s="1828"/>
      <c r="K18" s="1828"/>
      <c r="L18" s="1828"/>
      <c r="M18" s="1828"/>
      <c r="N18" s="1828"/>
      <c r="O18" s="1828"/>
      <c r="P18" s="1828"/>
      <c r="Q18" s="1828"/>
      <c r="R18" s="1828"/>
      <c r="S18" s="1829"/>
      <c r="T18" s="2345"/>
      <c r="U18" s="2346"/>
      <c r="V18" s="2346"/>
      <c r="W18" s="2346"/>
      <c r="X18" s="2346"/>
      <c r="Y18" s="2345"/>
      <c r="Z18" s="2346"/>
      <c r="AA18" s="2346"/>
      <c r="AB18" s="2346"/>
      <c r="AC18" s="2346"/>
      <c r="AD18" s="2346"/>
      <c r="AE18" s="2346"/>
      <c r="AF18" s="2346"/>
      <c r="AG18" s="2346"/>
      <c r="AH18" s="2346"/>
      <c r="AI18" s="2346"/>
      <c r="AJ18" s="2346"/>
      <c r="AK18" s="2346"/>
      <c r="AL18" s="2346"/>
      <c r="AM18" s="2346"/>
    </row>
    <row r="19" spans="1:40" ht="12.9" customHeight="1">
      <c r="B19" s="1150"/>
      <c r="C19" s="1828" t="s">
        <v>961</v>
      </c>
      <c r="D19" s="1828"/>
      <c r="E19" s="1828"/>
      <c r="F19" s="1828"/>
      <c r="G19" s="1828"/>
      <c r="H19" s="1828"/>
      <c r="I19" s="1828"/>
      <c r="J19" s="1828"/>
      <c r="K19" s="1828"/>
      <c r="L19" s="1828"/>
      <c r="M19" s="1828"/>
      <c r="N19" s="1828"/>
      <c r="O19" s="1828"/>
      <c r="P19" s="1828"/>
      <c r="Q19" s="1828"/>
      <c r="R19" s="1828"/>
      <c r="S19" s="1829"/>
      <c r="T19" s="2345"/>
      <c r="U19" s="2346"/>
      <c r="V19" s="2346"/>
      <c r="W19" s="2346"/>
      <c r="X19" s="2346"/>
      <c r="Y19" s="2345"/>
      <c r="Z19" s="2346"/>
      <c r="AA19" s="2346"/>
      <c r="AB19" s="2346"/>
      <c r="AC19" s="2346"/>
      <c r="AD19" s="2346"/>
      <c r="AE19" s="2346"/>
      <c r="AF19" s="2346"/>
      <c r="AG19" s="2346"/>
      <c r="AH19" s="2346"/>
      <c r="AI19" s="2346"/>
      <c r="AJ19" s="2346"/>
      <c r="AK19" s="2346"/>
      <c r="AL19" s="2346"/>
      <c r="AM19" s="2346"/>
    </row>
    <row r="20" spans="1:40" ht="12.9" customHeight="1">
      <c r="B20" s="2354" t="s">
        <v>503</v>
      </c>
      <c r="C20" s="2355"/>
      <c r="D20" s="2355"/>
      <c r="E20" s="2355"/>
      <c r="F20" s="2355"/>
      <c r="G20" s="2355"/>
      <c r="H20" s="2355"/>
      <c r="I20" s="2355"/>
      <c r="J20" s="2355"/>
      <c r="K20" s="2355"/>
      <c r="L20" s="2355"/>
      <c r="M20" s="2355"/>
      <c r="N20" s="2355"/>
      <c r="O20" s="2355"/>
      <c r="P20" s="2355"/>
      <c r="Q20" s="2355"/>
      <c r="R20" s="2355"/>
      <c r="S20" s="2356"/>
      <c r="T20" s="2347">
        <f>SUM(T13:X19)</f>
        <v>0</v>
      </c>
      <c r="U20" s="2348"/>
      <c r="V20" s="2348"/>
      <c r="W20" s="2348"/>
      <c r="X20" s="2348"/>
      <c r="Y20" s="2347">
        <f>SUM(Y13:AC19)</f>
        <v>0</v>
      </c>
      <c r="Z20" s="2348"/>
      <c r="AA20" s="2348"/>
      <c r="AB20" s="2348"/>
      <c r="AC20" s="2348"/>
      <c r="AD20" s="2349">
        <f>SUM(AD13:AH19)</f>
        <v>0</v>
      </c>
      <c r="AE20" s="2350"/>
      <c r="AF20" s="2350"/>
      <c r="AG20" s="2350"/>
      <c r="AH20" s="2347"/>
      <c r="AI20" s="2349">
        <f>SUM(AI13:AM19)</f>
        <v>0</v>
      </c>
      <c r="AJ20" s="2350"/>
      <c r="AK20" s="2350"/>
      <c r="AL20" s="2350"/>
      <c r="AM20" s="2347"/>
    </row>
    <row r="21" spans="1:40" ht="12.9" customHeight="1">
      <c r="B21" s="2354" t="s">
        <v>1264</v>
      </c>
      <c r="C21" s="2355"/>
      <c r="D21" s="2355"/>
      <c r="E21" s="2355"/>
      <c r="F21" s="2355"/>
      <c r="G21" s="2355"/>
      <c r="H21" s="2355"/>
      <c r="I21" s="2355"/>
      <c r="J21" s="2355"/>
      <c r="K21" s="2355"/>
      <c r="L21" s="2355"/>
      <c r="M21" s="2355"/>
      <c r="N21" s="2355"/>
      <c r="O21" s="2355"/>
      <c r="P21" s="2355"/>
      <c r="Q21" s="2355"/>
      <c r="R21" s="2355"/>
      <c r="S21" s="2356"/>
      <c r="T21" s="2345"/>
      <c r="U21" s="2346"/>
      <c r="V21" s="2346"/>
      <c r="W21" s="2346"/>
      <c r="X21" s="2346"/>
      <c r="Y21" s="2345"/>
      <c r="Z21" s="2346"/>
      <c r="AA21" s="2346"/>
      <c r="AB21" s="2346"/>
      <c r="AC21" s="2346"/>
      <c r="AD21" s="2342"/>
      <c r="AE21" s="2343"/>
      <c r="AF21" s="2343"/>
      <c r="AG21" s="2343"/>
      <c r="AH21" s="2344"/>
      <c r="AI21" s="2342"/>
      <c r="AJ21" s="2343"/>
      <c r="AK21" s="2343"/>
      <c r="AL21" s="2343"/>
      <c r="AM21" s="2344"/>
    </row>
    <row r="22" spans="1:40" ht="12.9" customHeight="1">
      <c r="B22" s="2354" t="s">
        <v>504</v>
      </c>
      <c r="C22" s="2355"/>
      <c r="D22" s="2355"/>
      <c r="E22" s="2355"/>
      <c r="F22" s="2355"/>
      <c r="G22" s="2355"/>
      <c r="H22" s="2355"/>
      <c r="I22" s="2355"/>
      <c r="J22" s="2355"/>
      <c r="K22" s="2355"/>
      <c r="L22" s="2355"/>
      <c r="M22" s="2355"/>
      <c r="N22" s="2355"/>
      <c r="O22" s="2355"/>
      <c r="P22" s="2355"/>
      <c r="Q22" s="2355"/>
      <c r="R22" s="2355"/>
      <c r="S22" s="2356"/>
      <c r="T22" s="2380">
        <f>(ABS(T20)+ABS(T21))*-1</f>
        <v>0</v>
      </c>
      <c r="U22" s="2381"/>
      <c r="V22" s="2381"/>
      <c r="W22" s="2381"/>
      <c r="X22" s="2381"/>
      <c r="Y22" s="2380">
        <f>(Y20+Y21)*-1</f>
        <v>0</v>
      </c>
      <c r="Z22" s="2381"/>
      <c r="AA22" s="2381"/>
      <c r="AB22" s="2381"/>
      <c r="AC22" s="2381"/>
      <c r="AD22" s="2382">
        <f>(AD20)*-1</f>
        <v>0</v>
      </c>
      <c r="AE22" s="2383"/>
      <c r="AF22" s="2383"/>
      <c r="AG22" s="2383"/>
      <c r="AH22" s="2380"/>
      <c r="AI22" s="2382">
        <f>(AI20)*-1</f>
        <v>0</v>
      </c>
      <c r="AJ22" s="2383"/>
      <c r="AK22" s="2383"/>
      <c r="AL22" s="2383"/>
      <c r="AM22" s="2380"/>
    </row>
    <row r="23" spans="1:40" ht="12.9" customHeight="1">
      <c r="B23" s="2354" t="s">
        <v>505</v>
      </c>
      <c r="C23" s="2355"/>
      <c r="D23" s="2355"/>
      <c r="E23" s="2355"/>
      <c r="F23" s="2355"/>
      <c r="G23" s="2355"/>
      <c r="H23" s="2355"/>
      <c r="I23" s="2355"/>
      <c r="J23" s="2355"/>
      <c r="K23" s="2355"/>
      <c r="L23" s="2355"/>
      <c r="M23" s="2355"/>
      <c r="N23" s="2355"/>
      <c r="O23" s="2355"/>
      <c r="P23" s="2355"/>
      <c r="Q23" s="2355"/>
      <c r="R23" s="2355"/>
      <c r="S23" s="2356"/>
      <c r="T23" s="2347">
        <f>T11+T22</f>
        <v>35957052</v>
      </c>
      <c r="U23" s="2348"/>
      <c r="V23" s="2348"/>
      <c r="W23" s="2348"/>
      <c r="X23" s="2348"/>
      <c r="Y23" s="2347">
        <f>Y11+Y22</f>
        <v>0</v>
      </c>
      <c r="Z23" s="2348"/>
      <c r="AA23" s="2348"/>
      <c r="AB23" s="2348"/>
      <c r="AC23" s="2348"/>
      <c r="AD23" s="2347">
        <f>AD11+AD22</f>
        <v>0</v>
      </c>
      <c r="AE23" s="2348"/>
      <c r="AF23" s="2348"/>
      <c r="AG23" s="2348"/>
      <c r="AH23" s="2348"/>
      <c r="AI23" s="2347">
        <f>AI11+AI22</f>
        <v>0</v>
      </c>
      <c r="AJ23" s="2348"/>
      <c r="AK23" s="2348"/>
      <c r="AL23" s="2348"/>
      <c r="AM23" s="2348"/>
    </row>
    <row r="24" spans="1:40" ht="12.9" customHeight="1">
      <c r="B24" s="2354" t="s">
        <v>962</v>
      </c>
      <c r="C24" s="2355"/>
      <c r="D24" s="2355"/>
      <c r="E24" s="2355"/>
      <c r="F24" s="2355"/>
      <c r="G24" s="2355"/>
      <c r="H24" s="2355"/>
      <c r="I24" s="2355"/>
      <c r="J24" s="2355"/>
      <c r="K24" s="2355"/>
      <c r="L24" s="2355"/>
      <c r="M24" s="2355"/>
      <c r="N24" s="2355"/>
      <c r="O24" s="2355"/>
      <c r="P24" s="2355"/>
      <c r="Q24" s="2355"/>
      <c r="R24" s="2355"/>
      <c r="S24" s="2356"/>
      <c r="T24" s="2349">
        <f>Application!AJ1053</f>
        <v>44701457.68</v>
      </c>
      <c r="U24" s="2350"/>
      <c r="V24" s="2350"/>
      <c r="W24" s="2350"/>
      <c r="X24" s="2350"/>
      <c r="Y24" s="2350"/>
      <c r="Z24" s="2350"/>
      <c r="AA24" s="2350"/>
      <c r="AB24" s="2350"/>
      <c r="AC24" s="2350"/>
      <c r="AD24" s="2350"/>
      <c r="AE24" s="2350"/>
      <c r="AF24" s="2350"/>
      <c r="AG24" s="2350"/>
      <c r="AH24" s="2350"/>
      <c r="AI24" s="2350"/>
      <c r="AJ24" s="2350"/>
      <c r="AK24" s="2350"/>
      <c r="AL24" s="2350"/>
      <c r="AM24" s="2347"/>
    </row>
    <row r="25" spans="1:40" ht="12.9" customHeight="1">
      <c r="B25" s="2358" t="s">
        <v>1265</v>
      </c>
      <c r="C25" s="2359"/>
      <c r="D25" s="2359"/>
      <c r="E25" s="2359"/>
      <c r="F25" s="2359"/>
      <c r="G25" s="2359"/>
      <c r="H25" s="2359"/>
      <c r="I25" s="2359"/>
      <c r="J25" s="2359"/>
      <c r="K25" s="2359"/>
      <c r="L25" s="2359"/>
      <c r="M25" s="2359"/>
      <c r="N25" s="2359"/>
      <c r="O25" s="2359"/>
      <c r="P25" s="2359"/>
      <c r="Q25" s="2359"/>
      <c r="R25" s="2359"/>
      <c r="S25" s="2360"/>
      <c r="T25" s="2384">
        <f>IF(OR(Application!T196="yes",Application!T195="yes"),1.3,1)</f>
        <v>1.3</v>
      </c>
      <c r="U25" s="2385"/>
      <c r="V25" s="2385"/>
      <c r="W25" s="2385"/>
      <c r="X25" s="2385"/>
      <c r="Y25" s="2384">
        <v>1</v>
      </c>
      <c r="Z25" s="2385"/>
      <c r="AA25" s="2385"/>
      <c r="AB25" s="2385"/>
      <c r="AC25" s="2385"/>
      <c r="AD25" s="2384">
        <v>1</v>
      </c>
      <c r="AE25" s="2385"/>
      <c r="AF25" s="2385"/>
      <c r="AG25" s="2385"/>
      <c r="AH25" s="2386"/>
      <c r="AI25" s="2384">
        <v>1</v>
      </c>
      <c r="AJ25" s="2385"/>
      <c r="AK25" s="2385"/>
      <c r="AL25" s="2385"/>
      <c r="AM25" s="2386"/>
    </row>
    <row r="26" spans="1:40" ht="12.9" customHeight="1">
      <c r="B26" s="2354" t="s">
        <v>506</v>
      </c>
      <c r="C26" s="2355"/>
      <c r="D26" s="2355"/>
      <c r="E26" s="2355"/>
      <c r="F26" s="2355"/>
      <c r="G26" s="2355"/>
      <c r="H26" s="2355"/>
      <c r="I26" s="2355"/>
      <c r="J26" s="2355"/>
      <c r="K26" s="2355"/>
      <c r="L26" s="2355"/>
      <c r="M26" s="2355"/>
      <c r="N26" s="2355"/>
      <c r="O26" s="2355"/>
      <c r="P26" s="2355"/>
      <c r="Q26" s="2355"/>
      <c r="R26" s="2355"/>
      <c r="S26" s="2356"/>
      <c r="T26" s="2347">
        <f>T23*T25</f>
        <v>46744167.600000001</v>
      </c>
      <c r="U26" s="2348"/>
      <c r="V26" s="2348"/>
      <c r="W26" s="2348"/>
      <c r="X26" s="2348"/>
      <c r="Y26" s="2347">
        <f>Y23*Y25</f>
        <v>0</v>
      </c>
      <c r="Z26" s="2348"/>
      <c r="AA26" s="2348"/>
      <c r="AB26" s="2348"/>
      <c r="AC26" s="2348"/>
      <c r="AD26" s="2347">
        <f>AD23*AD25</f>
        <v>0</v>
      </c>
      <c r="AE26" s="2348"/>
      <c r="AF26" s="2348"/>
      <c r="AG26" s="2348"/>
      <c r="AH26" s="2348"/>
      <c r="AI26" s="2347">
        <f>AI23*AI25</f>
        <v>0</v>
      </c>
      <c r="AJ26" s="2348"/>
      <c r="AK26" s="2348"/>
      <c r="AL26" s="2348"/>
      <c r="AM26" s="2348"/>
    </row>
    <row r="27" spans="1:40" ht="12.9" customHeight="1">
      <c r="A27" s="410"/>
      <c r="B27" s="2361" t="s">
        <v>426</v>
      </c>
      <c r="C27" s="2362"/>
      <c r="D27" s="2362"/>
      <c r="E27" s="2362"/>
      <c r="F27" s="2362"/>
      <c r="G27" s="2362"/>
      <c r="H27" s="2362"/>
      <c r="I27" s="2362"/>
      <c r="J27" s="2362"/>
      <c r="K27" s="2362"/>
      <c r="L27" s="2362"/>
      <c r="M27" s="2362"/>
      <c r="N27" s="2362"/>
      <c r="O27" s="2362"/>
      <c r="P27" s="2362"/>
      <c r="Q27" s="2362"/>
      <c r="R27" s="2362"/>
      <c r="S27" s="2363"/>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 customHeight="1">
      <c r="A28" s="404"/>
      <c r="B28" s="2354" t="s">
        <v>507</v>
      </c>
      <c r="C28" s="2355"/>
      <c r="D28" s="2355"/>
      <c r="E28" s="2355"/>
      <c r="F28" s="2355"/>
      <c r="G28" s="2355"/>
      <c r="H28" s="2355"/>
      <c r="I28" s="2355"/>
      <c r="J28" s="2355"/>
      <c r="K28" s="2355"/>
      <c r="L28" s="2355"/>
      <c r="M28" s="2355"/>
      <c r="N28" s="2355"/>
      <c r="O28" s="2355"/>
      <c r="P28" s="2355"/>
      <c r="Q28" s="2355"/>
      <c r="R28" s="2355"/>
      <c r="S28" s="2356"/>
      <c r="T28" s="2347">
        <f>IF(ISERROR((T26*T27)),0,(T26*T27))</f>
        <v>46744167.600000001</v>
      </c>
      <c r="U28" s="2348"/>
      <c r="V28" s="2348"/>
      <c r="W28" s="2348"/>
      <c r="X28" s="2348"/>
      <c r="Y28" s="2347">
        <f>IF(ISERROR((Y26*Y27)),0,(Y26*Y27))</f>
        <v>0</v>
      </c>
      <c r="Z28" s="2348"/>
      <c r="AA28" s="2348"/>
      <c r="AB28" s="2348"/>
      <c r="AC28" s="2348"/>
      <c r="AD28" s="2347">
        <f>IF(ISERROR((AD26*AD27)),0,(AD26*AD27))</f>
        <v>0</v>
      </c>
      <c r="AE28" s="2348"/>
      <c r="AF28" s="2348"/>
      <c r="AG28" s="2348"/>
      <c r="AH28" s="2348"/>
      <c r="AI28" s="2347">
        <f>IF(ISERROR((AI26*AI27)),0,(AI26*AI27))</f>
        <v>0</v>
      </c>
      <c r="AJ28" s="2348"/>
      <c r="AK28" s="2348"/>
      <c r="AL28" s="2348"/>
      <c r="AM28" s="2348"/>
    </row>
    <row r="29" spans="1:40" ht="12.9" customHeight="1">
      <c r="B29" s="2354" t="s">
        <v>524</v>
      </c>
      <c r="C29" s="2355"/>
      <c r="D29" s="2355"/>
      <c r="E29" s="2355"/>
      <c r="F29" s="2355"/>
      <c r="G29" s="2355"/>
      <c r="H29" s="2355"/>
      <c r="I29" s="2355"/>
      <c r="J29" s="2355"/>
      <c r="K29" s="2355"/>
      <c r="L29" s="2355"/>
      <c r="M29" s="2355"/>
      <c r="N29" s="2355"/>
      <c r="O29" s="2355"/>
      <c r="P29" s="2355"/>
      <c r="Q29" s="2355"/>
      <c r="R29" s="2355"/>
      <c r="S29" s="2356"/>
      <c r="T29" s="2349">
        <f>T28+Y28+AD28+AI28</f>
        <v>46744167.600000001</v>
      </c>
      <c r="U29" s="2350"/>
      <c r="V29" s="2350"/>
      <c r="W29" s="2350"/>
      <c r="X29" s="2350"/>
      <c r="Y29" s="2350"/>
      <c r="Z29" s="2350"/>
      <c r="AA29" s="2350"/>
      <c r="AB29" s="2350"/>
      <c r="AC29" s="2350"/>
      <c r="AD29" s="2350"/>
      <c r="AE29" s="2350"/>
      <c r="AF29" s="2350"/>
      <c r="AG29" s="2350"/>
      <c r="AH29" s="2350"/>
      <c r="AI29" s="2350"/>
      <c r="AJ29" s="2350"/>
      <c r="AK29" s="2350"/>
      <c r="AL29" s="2350"/>
      <c r="AM29" s="2347"/>
    </row>
    <row r="30" spans="1:40" ht="12.9" customHeight="1">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 customHeight="1">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5" t="s">
        <v>1155</v>
      </c>
      <c r="Z35" s="2375"/>
      <c r="AA35" s="2375"/>
      <c r="AB35" s="2375"/>
      <c r="AC35" s="2375"/>
      <c r="AD35" s="2395" t="s">
        <v>369</v>
      </c>
      <c r="AE35" s="2395"/>
      <c r="AF35" s="2395"/>
      <c r="AG35" s="2395"/>
      <c r="AH35" s="2395"/>
    </row>
    <row r="36" spans="1:76" ht="12.9" customHeight="1">
      <c r="B36" s="407"/>
      <c r="X36" s="412"/>
      <c r="Y36" s="2375"/>
      <c r="Z36" s="2375"/>
      <c r="AA36" s="2375"/>
      <c r="AB36" s="2375"/>
      <c r="AC36" s="2375"/>
      <c r="AD36" s="2395"/>
      <c r="AE36" s="2395"/>
      <c r="AF36" s="2395"/>
      <c r="AG36" s="2395"/>
      <c r="AH36" s="2395"/>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5"/>
      <c r="Z37" s="2375"/>
      <c r="AA37" s="2375"/>
      <c r="AB37" s="2375"/>
      <c r="AC37" s="2375"/>
      <c r="AD37" s="2395"/>
      <c r="AE37" s="2395"/>
      <c r="AF37" s="2395"/>
      <c r="AG37" s="2395"/>
      <c r="AH37" s="2395"/>
    </row>
    <row r="38" spans="1:76" ht="12.9" customHeight="1">
      <c r="A38" s="404"/>
      <c r="B38" s="2354" t="s">
        <v>507</v>
      </c>
      <c r="C38" s="2355"/>
      <c r="D38" s="2355"/>
      <c r="E38" s="2355"/>
      <c r="F38" s="2355"/>
      <c r="G38" s="2355"/>
      <c r="H38" s="2355"/>
      <c r="I38" s="2355"/>
      <c r="J38" s="2355"/>
      <c r="K38" s="2355"/>
      <c r="L38" s="2355"/>
      <c r="M38" s="2355"/>
      <c r="N38" s="2355"/>
      <c r="O38" s="2355"/>
      <c r="P38" s="2355"/>
      <c r="Q38" s="2355"/>
      <c r="R38" s="2355"/>
      <c r="S38" s="2355"/>
      <c r="T38" s="2355"/>
      <c r="U38" s="2355"/>
      <c r="V38" s="2355"/>
      <c r="W38" s="2355"/>
      <c r="X38" s="2356"/>
      <c r="Y38" s="2348">
        <f>IF(T24&gt;=(T23+Y23+AD23+AI23),T28+Y28,0)</f>
        <v>46744167.600000001</v>
      </c>
      <c r="Z38" s="2348"/>
      <c r="AA38" s="2348"/>
      <c r="AB38" s="2348"/>
      <c r="AC38" s="2348"/>
      <c r="AD38" s="2348">
        <f>IF(T24&gt;=(T23+Y23+AD23+AI23),AD28+AI28,0)</f>
        <v>0</v>
      </c>
      <c r="AE38" s="2348"/>
      <c r="AF38" s="2348"/>
      <c r="AG38" s="2348"/>
      <c r="AH38" s="2348"/>
    </row>
    <row r="39" spans="1:76" ht="12.9" customHeight="1">
      <c r="B39" s="2354" t="s">
        <v>1692</v>
      </c>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6"/>
      <c r="Y39" s="2396">
        <v>0.04</v>
      </c>
      <c r="Z39" s="2396"/>
      <c r="AA39" s="2396"/>
      <c r="AB39" s="2396"/>
      <c r="AC39" s="2396"/>
      <c r="AD39" s="2396">
        <v>0.04</v>
      </c>
      <c r="AE39" s="2396"/>
      <c r="AF39" s="2396"/>
      <c r="AG39" s="2396"/>
      <c r="AH39" s="2396"/>
    </row>
    <row r="40" spans="1:76" ht="12.9" customHeight="1">
      <c r="A40" s="404"/>
      <c r="B40" s="2354" t="s">
        <v>643</v>
      </c>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6"/>
      <c r="Y40" s="2348">
        <f>ROUND(Y38*Y39,0)</f>
        <v>1869767</v>
      </c>
      <c r="Z40" s="2348"/>
      <c r="AA40" s="2348"/>
      <c r="AB40" s="2348"/>
      <c r="AC40" s="2348"/>
      <c r="AD40" s="2347">
        <f>ROUND(AD38*AD39,0)</f>
        <v>0</v>
      </c>
      <c r="AE40" s="2348"/>
      <c r="AF40" s="2348"/>
      <c r="AG40" s="2348"/>
      <c r="AH40" s="2348"/>
    </row>
    <row r="41" spans="1:76" ht="12.9" customHeight="1">
      <c r="B41" s="2354" t="s">
        <v>644</v>
      </c>
      <c r="C41" s="2355"/>
      <c r="D41" s="2355"/>
      <c r="E41" s="2355"/>
      <c r="F41" s="2355"/>
      <c r="G41" s="2355"/>
      <c r="H41" s="2355"/>
      <c r="I41" s="2355"/>
      <c r="J41" s="2355"/>
      <c r="K41" s="2355"/>
      <c r="L41" s="2355"/>
      <c r="M41" s="2355"/>
      <c r="N41" s="2355"/>
      <c r="O41" s="2355"/>
      <c r="P41" s="2355"/>
      <c r="Q41" s="2355"/>
      <c r="R41" s="2355"/>
      <c r="S41" s="2355"/>
      <c r="T41" s="2355"/>
      <c r="U41" s="2355"/>
      <c r="V41" s="2355"/>
      <c r="W41" s="2355"/>
      <c r="X41" s="2356"/>
      <c r="Y41" s="2349">
        <f>Y40+AD40</f>
        <v>1869767</v>
      </c>
      <c r="Z41" s="2350"/>
      <c r="AA41" s="2350"/>
      <c r="AB41" s="2350"/>
      <c r="AC41" s="2350"/>
      <c r="AD41" s="2350"/>
      <c r="AE41" s="2350"/>
      <c r="AF41" s="2350"/>
      <c r="AG41" s="2350"/>
      <c r="AH41" s="2347"/>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2" t="s">
        <v>1277</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 customHeight="1" thickTop="1"/>
    <row r="46" spans="1:76" ht="12.9" customHeight="1">
      <c r="A46" s="404" t="s">
        <v>587</v>
      </c>
      <c r="C46" s="404" t="s">
        <v>282</v>
      </c>
    </row>
    <row r="47" spans="1:76" ht="12.9" customHeight="1">
      <c r="D47" s="404" t="s">
        <v>283</v>
      </c>
      <c r="AB47" s="2364">
        <f>'Sources and Uses Budget'!B105-MAX(IF('Sources and Uses Budget'!B15="",0,'Sources and Uses Budget'!B15),IF(Application!AG394="",0,Application!AG394))</f>
        <v>41750794</v>
      </c>
      <c r="AC47" s="2365"/>
      <c r="AD47" s="2365"/>
      <c r="AE47" s="2365"/>
      <c r="AF47" s="2366"/>
    </row>
    <row r="48" spans="1:76" ht="12.9" customHeight="1">
      <c r="D48" s="404" t="s">
        <v>21</v>
      </c>
      <c r="AB48" s="2364">
        <f>Application!AO639-MAX(IF('Sources and Uses Budget'!B15="",0,'Sources and Uses Budget'!B15),IF(Application!AG394="",0,Application!AG394))</f>
        <v>25857783</v>
      </c>
      <c r="AC48" s="2365"/>
      <c r="AD48" s="2365"/>
      <c r="AE48" s="2365"/>
      <c r="AF48" s="2366"/>
    </row>
    <row r="49" spans="1:76" ht="12.9" customHeight="1">
      <c r="D49" s="404" t="s">
        <v>91</v>
      </c>
      <c r="AB49" s="2364">
        <f>AB47-AB48</f>
        <v>15893011</v>
      </c>
      <c r="AC49" s="2365"/>
      <c r="AD49" s="2365"/>
      <c r="AE49" s="2365"/>
      <c r="AF49" s="2366"/>
    </row>
    <row r="50" spans="1:76" ht="12.9" customHeight="1">
      <c r="D50" s="404" t="s">
        <v>682</v>
      </c>
      <c r="AA50" s="415"/>
      <c r="AB50" s="2391">
        <v>0.85</v>
      </c>
      <c r="AC50" s="2392"/>
      <c r="AD50" s="2392"/>
      <c r="AE50" s="2392"/>
      <c r="AF50" s="2393"/>
    </row>
    <row r="51" spans="1:76" s="417" customFormat="1" ht="12.9" customHeight="1">
      <c r="A51" s="402"/>
      <c r="B51" s="402"/>
      <c r="C51" s="402"/>
      <c r="D51" s="402"/>
      <c r="E51" s="2394" t="s">
        <v>2612</v>
      </c>
      <c r="F51" s="2394"/>
      <c r="G51" s="2394"/>
      <c r="H51" s="2394"/>
      <c r="I51" s="2394"/>
      <c r="J51" s="2394"/>
      <c r="K51" s="2394"/>
      <c r="L51" s="2394"/>
      <c r="M51" s="2394"/>
      <c r="N51" s="2394"/>
      <c r="O51" s="2394"/>
      <c r="P51" s="2394"/>
      <c r="Q51" s="2394"/>
      <c r="R51" s="2394"/>
      <c r="S51" s="2394"/>
      <c r="T51" s="2394"/>
      <c r="U51" s="2394"/>
      <c r="V51" s="2394"/>
      <c r="W51" s="2394"/>
      <c r="X51" s="2394"/>
      <c r="Y51" s="2394"/>
      <c r="Z51" s="2394"/>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94"/>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64">
        <f>ROUND(IF(ISERROR((AB49/AB50)),0,(AB49/AB50)),0)</f>
        <v>18697660</v>
      </c>
      <c r="AC54" s="2365"/>
      <c r="AD54" s="2365"/>
      <c r="AE54" s="2365"/>
      <c r="AF54" s="2366"/>
    </row>
    <row r="55" spans="1:76" ht="12.9" customHeight="1">
      <c r="D55" s="404" t="s">
        <v>333</v>
      </c>
      <c r="AB55" s="2364">
        <f>(AB54/10)</f>
        <v>1869766</v>
      </c>
      <c r="AC55" s="2365"/>
      <c r="AD55" s="2365"/>
      <c r="AE55" s="2365"/>
      <c r="AF55" s="2366"/>
    </row>
    <row r="56" spans="1:76" ht="12.9" customHeight="1">
      <c r="D56" s="404" t="s">
        <v>757</v>
      </c>
      <c r="AB56" s="2364">
        <f>ROUND((IF((Y41&lt;AB55),Y41,AB55)),0)</f>
        <v>1869766</v>
      </c>
      <c r="AC56" s="2365"/>
      <c r="AD56" s="2365"/>
      <c r="AE56" s="2365"/>
      <c r="AF56" s="2366"/>
    </row>
    <row r="57" spans="1:76" ht="12.9" customHeight="1">
      <c r="D57" s="404" t="s">
        <v>756</v>
      </c>
      <c r="AB57" s="2364">
        <f>ROUND((10*AB56*AB50),0)</f>
        <v>15893011</v>
      </c>
      <c r="AC57" s="2365"/>
      <c r="AD57" s="2365"/>
      <c r="AE57" s="2365"/>
      <c r="AF57" s="2366"/>
    </row>
    <row r="58" spans="1:76" ht="12.9" customHeight="1">
      <c r="D58" s="404"/>
      <c r="AB58" s="423"/>
      <c r="AC58" s="423"/>
      <c r="AD58" s="423"/>
      <c r="AE58" s="423"/>
      <c r="AF58" s="423"/>
    </row>
    <row r="59" spans="1:76" ht="12.9" customHeight="1">
      <c r="D59" s="404" t="s">
        <v>755</v>
      </c>
      <c r="AB59" s="2387">
        <f>AB49-AB57</f>
        <v>0</v>
      </c>
      <c r="AC59" s="2387"/>
      <c r="AD59" s="2387"/>
      <c r="AE59" s="2387"/>
      <c r="AF59" s="2387"/>
    </row>
    <row r="60" spans="1:76" ht="12.9" customHeight="1">
      <c r="D60" s="404"/>
      <c r="AB60" s="423"/>
      <c r="AC60" s="423"/>
      <c r="AD60" s="423"/>
      <c r="AE60" s="423"/>
      <c r="AF60" s="423"/>
    </row>
    <row r="61" spans="1:76" s="204" customFormat="1" ht="12.9"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 customHeight="1" thickTop="1"/>
    <row r="63" spans="1:76" ht="12.9" customHeight="1">
      <c r="A63" s="404" t="s">
        <v>590</v>
      </c>
      <c r="C63" s="205" t="s">
        <v>1249</v>
      </c>
      <c r="Y63" s="2388" t="s">
        <v>985</v>
      </c>
      <c r="Z63" s="2388"/>
      <c r="AA63" s="2388"/>
      <c r="AB63" s="2388"/>
      <c r="AC63" s="2388"/>
      <c r="AD63" s="2388" t="s">
        <v>369</v>
      </c>
      <c r="AE63" s="2388"/>
      <c r="AF63" s="2388"/>
      <c r="AG63" s="2388"/>
      <c r="AH63" s="2388"/>
    </row>
    <row r="64" spans="1:76" ht="12.9"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9">
        <f>IF(Application!$Z$205="(select)",0,((T23*T27)+Y28))</f>
        <v>35957052</v>
      </c>
      <c r="Z64" s="2389"/>
      <c r="AA64" s="2389"/>
      <c r="AB64" s="2389"/>
      <c r="AC64" s="2390"/>
      <c r="AD64" s="2349">
        <f>IF(AND(OR(Application!D211="At-Risk",Application!D211="At-Risk and Special Needs"),Application!M358="yes"),AD28+AI28,0)</f>
        <v>0</v>
      </c>
      <c r="AE64" s="2389"/>
      <c r="AF64" s="2389"/>
      <c r="AG64" s="2389"/>
      <c r="AH64" s="2390"/>
    </row>
    <row r="65" spans="1:36" ht="12.9"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02">
        <f>IF(OR(Application!Z205="State Farmworker Credit",Application!Z205="$500M (Farmworker Housing)"),0.75,IF(Application!Z205="15% set-aside",0.13,IF(Application!Z205="15% set-aside with qualifying low value rehab",0.95,IF(Application!Z205="$500M",0.3,0))))</f>
        <v>0.3</v>
      </c>
      <c r="Z67" s="2402"/>
      <c r="AA67" s="2402"/>
      <c r="AB67" s="2402"/>
      <c r="AC67" s="2402"/>
      <c r="AD67" s="2402">
        <f>IF(Application!Z205="15% set-aside with qualifying low value rehab", 0.95,IF(OR(Application!D211="At-Risk",'Points System'!B13="Yes"),0.13,0))</f>
        <v>0</v>
      </c>
      <c r="AE67" s="2402"/>
      <c r="AF67" s="2402"/>
      <c r="AG67" s="2402"/>
      <c r="AH67" s="2402"/>
    </row>
    <row r="68" spans="1:36" ht="12.9" customHeight="1">
      <c r="C68" s="404"/>
      <c r="D68" s="205" t="s">
        <v>2225</v>
      </c>
      <c r="Y68" s="2348">
        <f>ROUND(Y64*Y67,0)</f>
        <v>10787116</v>
      </c>
      <c r="Z68" s="2403"/>
      <c r="AA68" s="2403"/>
      <c r="AB68" s="2403"/>
      <c r="AC68" s="2403"/>
      <c r="AD68" s="2348">
        <f>ROUND(AD64*AD67,0)</f>
        <v>0</v>
      </c>
      <c r="AE68" s="2403"/>
      <c r="AF68" s="2403"/>
      <c r="AG68" s="2403"/>
      <c r="AH68" s="2403"/>
    </row>
    <row r="69" spans="1:36" ht="12.9" customHeight="1">
      <c r="C69" s="404"/>
      <c r="D69" s="205" t="s">
        <v>2226</v>
      </c>
      <c r="Y69" s="2348">
        <f>IF(OR(Application!Z205="State Farmworker Credit",Application!Z205="$500M (Farmworker Housing)"),Y68+AD68,MIN(Y68+AD68,200000*(Application!G753+Application!O777)))</f>
        <v>9200000</v>
      </c>
      <c r="Z69" s="2348"/>
      <c r="AA69" s="2348"/>
      <c r="AB69" s="2348"/>
      <c r="AC69" s="2348"/>
      <c r="AD69" s="2348"/>
      <c r="AE69" s="2348"/>
      <c r="AF69" s="2348"/>
      <c r="AG69" s="2348"/>
      <c r="AH69" s="2348"/>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1251</v>
      </c>
      <c r="AB72" s="2391"/>
      <c r="AC72" s="2392"/>
      <c r="AD72" s="2392"/>
      <c r="AE72" s="2392"/>
      <c r="AF72" s="2393"/>
    </row>
    <row r="73" spans="1:36" ht="12.9" customHeight="1">
      <c r="A73" s="404"/>
      <c r="C73" s="404"/>
      <c r="D73" s="404"/>
      <c r="E73" s="2404" t="s">
        <v>1252</v>
      </c>
      <c r="F73" s="2404"/>
      <c r="G73" s="2404"/>
      <c r="H73" s="2404"/>
      <c r="I73" s="2404"/>
      <c r="J73" s="2404"/>
      <c r="K73" s="2404"/>
      <c r="L73" s="2404"/>
      <c r="M73" s="2404"/>
      <c r="N73" s="2404"/>
      <c r="O73" s="2404"/>
      <c r="P73" s="2404"/>
      <c r="Q73" s="2404"/>
      <c r="R73" s="2404"/>
      <c r="S73" s="2404"/>
      <c r="T73" s="2404"/>
      <c r="U73" s="2404"/>
      <c r="V73" s="2404"/>
      <c r="W73" s="2404"/>
      <c r="X73" s="2404"/>
      <c r="Y73" s="2404"/>
      <c r="Z73" s="2404"/>
      <c r="AA73" s="2404"/>
      <c r="AB73" s="438"/>
      <c r="AC73" s="438"/>
    </row>
    <row r="74" spans="1:36" ht="12.9" customHeight="1">
      <c r="A74" s="404"/>
      <c r="C74" s="404"/>
      <c r="D74" s="404"/>
      <c r="E74" s="2404"/>
      <c r="F74" s="2404"/>
      <c r="G74" s="2404"/>
      <c r="H74" s="2404"/>
      <c r="I74" s="2404"/>
      <c r="J74" s="2404"/>
      <c r="K74" s="2404"/>
      <c r="L74" s="2404"/>
      <c r="M74" s="2404"/>
      <c r="N74" s="2404"/>
      <c r="O74" s="2404"/>
      <c r="P74" s="2404"/>
      <c r="Q74" s="2404"/>
      <c r="R74" s="2404"/>
      <c r="S74" s="2404"/>
      <c r="T74" s="2404"/>
      <c r="U74" s="2404"/>
      <c r="V74" s="2404"/>
      <c r="W74" s="2404"/>
      <c r="X74" s="2404"/>
      <c r="Y74" s="2404"/>
      <c r="Z74" s="2404"/>
      <c r="AA74" s="2404"/>
      <c r="AB74" s="438"/>
      <c r="AC74" s="438"/>
    </row>
    <row r="75" spans="1:36" ht="12.9" customHeight="1">
      <c r="A75" s="404"/>
      <c r="C75" s="404"/>
      <c r="D75" s="404"/>
      <c r="E75" s="2404"/>
      <c r="F75" s="2404"/>
      <c r="G75" s="2404"/>
      <c r="H75" s="2404"/>
      <c r="I75" s="2404"/>
      <c r="J75" s="2404"/>
      <c r="K75" s="2404"/>
      <c r="L75" s="2404"/>
      <c r="M75" s="2404"/>
      <c r="N75" s="2404"/>
      <c r="O75" s="2404"/>
      <c r="P75" s="2404"/>
      <c r="Q75" s="2404"/>
      <c r="R75" s="2404"/>
      <c r="S75" s="2404"/>
      <c r="T75" s="2404"/>
      <c r="U75" s="2404"/>
      <c r="V75" s="2404"/>
      <c r="W75" s="2404"/>
      <c r="X75" s="2404"/>
      <c r="Y75" s="2404"/>
      <c r="Z75" s="2404"/>
      <c r="AA75" s="2404"/>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1253</v>
      </c>
      <c r="AB77" s="2397">
        <f>ROUND(IF(ISERROR((AB59/AB72)),0,(AB59/AB72)),0)</f>
        <v>0</v>
      </c>
      <c r="AC77" s="2397"/>
      <c r="AD77" s="2397"/>
      <c r="AE77" s="2397"/>
      <c r="AF77" s="2397"/>
    </row>
    <row r="78" spans="1:36" ht="12.9" customHeight="1">
      <c r="C78" s="404"/>
      <c r="D78" s="205" t="s">
        <v>1254</v>
      </c>
      <c r="AB78" s="2398">
        <f>ROUNDUP(MIN(Y69,AB77),0)</f>
        <v>0</v>
      </c>
      <c r="AC78" s="2399"/>
      <c r="AD78" s="2399"/>
      <c r="AE78" s="2399"/>
      <c r="AF78" s="2400"/>
    </row>
    <row r="79" spans="1:36" ht="12.9" customHeight="1">
      <c r="C79" s="404"/>
      <c r="D79" s="205" t="s">
        <v>1255</v>
      </c>
      <c r="AB79" s="2401">
        <f>AB78*AB72</f>
        <v>0</v>
      </c>
      <c r="AC79" s="2401"/>
      <c r="AD79" s="2401"/>
      <c r="AE79" s="2401"/>
      <c r="AF79" s="2401"/>
    </row>
    <row r="80" spans="1:36" ht="12.9" customHeight="1">
      <c r="C80" s="404"/>
      <c r="D80" s="404"/>
      <c r="AB80" s="425"/>
      <c r="AC80" s="425"/>
      <c r="AD80" s="425"/>
      <c r="AE80" s="425"/>
      <c r="AF80" s="425"/>
    </row>
    <row r="81" spans="1:78" ht="12.9" customHeight="1">
      <c r="D81" s="404" t="s">
        <v>755</v>
      </c>
      <c r="AB81" s="2387">
        <f>AB49-(AB57+AB79)</f>
        <v>0</v>
      </c>
      <c r="AC81" s="2387"/>
      <c r="AD81" s="2387"/>
      <c r="AE81" s="2387"/>
      <c r="AF81" s="2387"/>
    </row>
    <row r="82" spans="1:78" ht="12.9" customHeight="1">
      <c r="F82" s="522"/>
      <c r="J82" s="522" t="str">
        <f>IF(AB81&gt;0,"FUNDING GAP MUST NOT EXCEED ZERO","")</f>
        <v/>
      </c>
    </row>
    <row r="83" spans="1:78" ht="12.9" customHeight="1">
      <c r="D83" s="523"/>
    </row>
    <row r="84" spans="1:78" ht="12.9"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 customHeight="1" thickTop="1"/>
    <row r="86" spans="1:78" ht="12.9" customHeight="1">
      <c r="A86" s="404"/>
      <c r="C86" s="205"/>
    </row>
    <row r="87" spans="1:78" ht="12.9" customHeight="1">
      <c r="D87" s="205"/>
      <c r="AB87" s="2353"/>
      <c r="AC87" s="2353"/>
      <c r="AD87" s="2353"/>
      <c r="AE87" s="2353"/>
      <c r="AF87" s="2353"/>
    </row>
    <row r="88" spans="1:78" ht="12.9" customHeight="1" thickBot="1">
      <c r="D88" s="205"/>
      <c r="AB88" s="2351"/>
      <c r="AC88" s="2351"/>
      <c r="AD88" s="2351"/>
      <c r="AE88" s="2351"/>
      <c r="AF88" s="235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68" workbookViewId="0">
      <selection activeCell="T128" sqref="T1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35" t="s">
        <v>1301</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row>
    <row r="2" spans="1:42" s="536" customFormat="1" ht="12.75"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6" t="s">
        <v>1306</v>
      </c>
      <c r="AF7" s="2476"/>
      <c r="AG7" s="2476"/>
      <c r="AH7" s="2476"/>
      <c r="AI7" s="2476"/>
      <c r="AJ7" s="2476"/>
      <c r="AK7" s="247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9" t="s">
        <v>592</v>
      </c>
      <c r="C13" s="262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7"/>
      <c r="AH13" s="2637"/>
      <c r="AI13" s="2637"/>
      <c r="AJ13" s="263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9" t="s">
        <v>592</v>
      </c>
      <c r="C16" s="2629"/>
      <c r="D16" s="547"/>
      <c r="E16" s="2621" t="s">
        <v>1308</v>
      </c>
      <c r="F16" s="2622"/>
      <c r="G16" s="2622"/>
      <c r="H16" s="2622"/>
      <c r="I16" s="2622"/>
      <c r="J16" s="2622"/>
      <c r="K16" s="2622"/>
      <c r="L16" s="2622"/>
      <c r="M16" s="2622"/>
      <c r="N16" s="2622"/>
      <c r="O16" s="2622"/>
      <c r="P16" s="2622"/>
      <c r="Q16" s="2622"/>
      <c r="R16" s="2622"/>
      <c r="S16" s="2622"/>
      <c r="T16" s="2622"/>
      <c r="U16" s="2622"/>
      <c r="V16" s="2622"/>
      <c r="W16" s="2622"/>
      <c r="X16" s="2622"/>
      <c r="Y16" s="2622"/>
      <c r="Z16" s="2622"/>
      <c r="AA16" s="2622"/>
      <c r="AB16" s="2622"/>
      <c r="AC16" s="2622"/>
      <c r="AD16" s="2622"/>
      <c r="AE16" s="2622"/>
      <c r="AF16" s="2622"/>
      <c r="AG16" s="2622"/>
      <c r="AH16" s="2622"/>
      <c r="AI16" s="2622"/>
      <c r="AJ16" s="2623"/>
      <c r="AK16" s="540"/>
      <c r="AL16" s="540"/>
      <c r="AM16" s="540"/>
      <c r="AN16" s="535"/>
      <c r="AO16" s="550">
        <f>IF($B25="yes",20,0)</f>
        <v>0</v>
      </c>
      <c r="AP16" s="14"/>
    </row>
    <row r="17" spans="1:42" s="536" customFormat="1" ht="12.75" customHeight="1">
      <c r="A17" s="540"/>
      <c r="B17" s="540"/>
      <c r="C17" s="540"/>
      <c r="D17" s="551"/>
      <c r="E17" s="2624"/>
      <c r="F17" s="2625"/>
      <c r="G17" s="2625"/>
      <c r="H17" s="2625"/>
      <c r="I17" s="2625"/>
      <c r="J17" s="2625"/>
      <c r="K17" s="2625"/>
      <c r="L17" s="2625"/>
      <c r="M17" s="2625"/>
      <c r="N17" s="2625"/>
      <c r="O17" s="2625"/>
      <c r="P17" s="2625"/>
      <c r="Q17" s="2625"/>
      <c r="R17" s="2625"/>
      <c r="S17" s="2625"/>
      <c r="T17" s="2625"/>
      <c r="U17" s="2625"/>
      <c r="V17" s="2625"/>
      <c r="W17" s="2625"/>
      <c r="X17" s="2625"/>
      <c r="Y17" s="2625"/>
      <c r="Z17" s="2625"/>
      <c r="AA17" s="2625"/>
      <c r="AB17" s="2625"/>
      <c r="AC17" s="2625"/>
      <c r="AD17" s="2625"/>
      <c r="AE17" s="2625"/>
      <c r="AF17" s="2625"/>
      <c r="AG17" s="2625"/>
      <c r="AH17" s="2625"/>
      <c r="AI17" s="2625"/>
      <c r="AJ17" s="2626"/>
      <c r="AK17" s="540"/>
      <c r="AL17" s="540"/>
      <c r="AM17" s="540"/>
      <c r="AN17" s="535"/>
      <c r="AO17" s="550">
        <f>IF($B28="yes",20,0)</f>
        <v>0</v>
      </c>
    </row>
    <row r="18" spans="1:42" s="536" customFormat="1" ht="12.75" customHeight="1">
      <c r="A18" s="540"/>
      <c r="B18" s="540"/>
      <c r="C18" s="540"/>
      <c r="D18" s="551"/>
      <c r="E18" s="2624"/>
      <c r="F18" s="2625"/>
      <c r="G18" s="2625"/>
      <c r="H18" s="2625"/>
      <c r="I18" s="2625"/>
      <c r="J18" s="2625"/>
      <c r="K18" s="2625"/>
      <c r="L18" s="2625"/>
      <c r="M18" s="2625"/>
      <c r="N18" s="2625"/>
      <c r="O18" s="2625"/>
      <c r="P18" s="2625"/>
      <c r="Q18" s="2625"/>
      <c r="R18" s="2625"/>
      <c r="S18" s="2625"/>
      <c r="T18" s="2625"/>
      <c r="U18" s="2625"/>
      <c r="V18" s="2625"/>
      <c r="W18" s="2625"/>
      <c r="X18" s="2625"/>
      <c r="Y18" s="2625"/>
      <c r="Z18" s="2625"/>
      <c r="AA18" s="2625"/>
      <c r="AB18" s="2625"/>
      <c r="AC18" s="2625"/>
      <c r="AD18" s="2625"/>
      <c r="AE18" s="2625"/>
      <c r="AF18" s="2625"/>
      <c r="AG18" s="2625"/>
      <c r="AH18" s="2625"/>
      <c r="AI18" s="2625"/>
      <c r="AJ18" s="2626"/>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45"/>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9" t="s">
        <v>592</v>
      </c>
      <c r="C22" s="2629"/>
      <c r="D22" s="547"/>
      <c r="E22" s="2639" t="s">
        <v>1311</v>
      </c>
      <c r="F22" s="2640"/>
      <c r="G22" s="2640"/>
      <c r="H22" s="2640"/>
      <c r="I22" s="2640"/>
      <c r="J22" s="2640"/>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1"/>
      <c r="AK22" s="540"/>
      <c r="AL22" s="540"/>
      <c r="AM22" s="540"/>
      <c r="AN22" s="535"/>
      <c r="AO22" s="550">
        <f>IF($B40="yes",14,0)</f>
        <v>0</v>
      </c>
    </row>
    <row r="23" spans="1:42" s="536" customFormat="1" ht="12.75" customHeight="1">
      <c r="A23" s="540"/>
      <c r="B23" s="540"/>
      <c r="C23" s="540"/>
      <c r="D23" s="550"/>
      <c r="E23" s="2642"/>
      <c r="F23" s="2643"/>
      <c r="G23" s="2643"/>
      <c r="H23" s="2643"/>
      <c r="I23" s="2643"/>
      <c r="J23" s="2643"/>
      <c r="K23" s="2643"/>
      <c r="L23" s="2643"/>
      <c r="M23" s="2643"/>
      <c r="N23" s="2643"/>
      <c r="O23" s="2643"/>
      <c r="P23" s="2643"/>
      <c r="Q23" s="2643"/>
      <c r="R23" s="2643"/>
      <c r="S23" s="2643"/>
      <c r="T23" s="2643"/>
      <c r="U23" s="2643"/>
      <c r="V23" s="2643"/>
      <c r="W23" s="2643"/>
      <c r="X23" s="2643"/>
      <c r="Y23" s="2643"/>
      <c r="Z23" s="2643"/>
      <c r="AA23" s="2643"/>
      <c r="AB23" s="2643"/>
      <c r="AC23" s="2643"/>
      <c r="AD23" s="2643"/>
      <c r="AE23" s="2643"/>
      <c r="AF23" s="2643"/>
      <c r="AG23" s="2643"/>
      <c r="AH23" s="2643"/>
      <c r="AI23" s="2643"/>
      <c r="AJ23" s="264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9" t="s">
        <v>592</v>
      </c>
      <c r="C25" s="2629"/>
      <c r="D25" s="547"/>
      <c r="E25" s="2556" t="s">
        <v>2034</v>
      </c>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8"/>
      <c r="AK25" s="540"/>
      <c r="AL25" s="540"/>
      <c r="AM25" s="540"/>
      <c r="AN25" s="535"/>
      <c r="AO25" s="550">
        <f>IF($B45="yes",6,0)</f>
        <v>0</v>
      </c>
    </row>
    <row r="26" spans="1:42" s="536" customFormat="1" ht="12.75" customHeight="1">
      <c r="A26" s="540"/>
      <c r="B26" s="540"/>
      <c r="C26" s="540"/>
      <c r="D26" s="550"/>
      <c r="E26" s="2581"/>
      <c r="F26" s="2582"/>
      <c r="G26" s="2582"/>
      <c r="H26" s="2582"/>
      <c r="I26" s="2582"/>
      <c r="J26" s="2582"/>
      <c r="K26" s="2582"/>
      <c r="L26" s="2582"/>
      <c r="M26" s="2582"/>
      <c r="N26" s="2582"/>
      <c r="O26" s="2582"/>
      <c r="P26" s="2582"/>
      <c r="Q26" s="2582"/>
      <c r="R26" s="2582"/>
      <c r="S26" s="2582"/>
      <c r="T26" s="2582"/>
      <c r="U26" s="2582"/>
      <c r="V26" s="2582"/>
      <c r="W26" s="2582"/>
      <c r="X26" s="2582"/>
      <c r="Y26" s="2582"/>
      <c r="Z26" s="2582"/>
      <c r="AA26" s="2582"/>
      <c r="AB26" s="2582"/>
      <c r="AC26" s="2582"/>
      <c r="AD26" s="2582"/>
      <c r="AE26" s="2582"/>
      <c r="AF26" s="2582"/>
      <c r="AG26" s="2582"/>
      <c r="AH26" s="2582"/>
      <c r="AI26" s="2582"/>
      <c r="AJ26" s="2583"/>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9" t="s">
        <v>592</v>
      </c>
      <c r="C28" s="2629"/>
      <c r="D28" s="547"/>
      <c r="E28" s="2658" t="s">
        <v>2249</v>
      </c>
      <c r="F28" s="2659"/>
      <c r="G28" s="2659"/>
      <c r="H28" s="2659"/>
      <c r="I28" s="2659"/>
      <c r="J28" s="2659"/>
      <c r="K28" s="2659"/>
      <c r="L28" s="2659"/>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6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29" t="s">
        <v>592</v>
      </c>
      <c r="C33" s="2629"/>
      <c r="D33" s="547"/>
      <c r="E33" s="2639" t="s">
        <v>2251</v>
      </c>
      <c r="F33" s="2640"/>
      <c r="G33" s="2640"/>
      <c r="H33" s="2640"/>
      <c r="I33" s="2640"/>
      <c r="J33" s="2640"/>
      <c r="K33" s="2640"/>
      <c r="L33" s="2640"/>
      <c r="M33" s="2640"/>
      <c r="N33" s="2640"/>
      <c r="O33" s="2640"/>
      <c r="P33" s="2640"/>
      <c r="Q33" s="2640"/>
      <c r="R33" s="2640"/>
      <c r="S33" s="2640"/>
      <c r="T33" s="2640"/>
      <c r="U33" s="2640"/>
      <c r="V33" s="2640"/>
      <c r="W33" s="2640"/>
      <c r="X33" s="2640"/>
      <c r="Y33" s="2640"/>
      <c r="Z33" s="2640"/>
      <c r="AA33" s="2640"/>
      <c r="AB33" s="2640"/>
      <c r="AC33" s="2640"/>
      <c r="AD33" s="2640"/>
      <c r="AE33" s="2640"/>
      <c r="AF33" s="2640"/>
      <c r="AG33" s="2640"/>
      <c r="AH33" s="2640"/>
      <c r="AI33" s="2640"/>
      <c r="AJ33" s="2641"/>
      <c r="AK33" s="540"/>
      <c r="AL33" s="540"/>
      <c r="AM33" s="540"/>
      <c r="AN33" s="535"/>
      <c r="AO33" s="550"/>
    </row>
    <row r="34" spans="1:41" s="536" customFormat="1" ht="12.75" customHeight="1">
      <c r="A34" s="540"/>
      <c r="B34" s="540"/>
      <c r="C34" s="540"/>
      <c r="E34" s="2642"/>
      <c r="F34" s="2643"/>
      <c r="G34" s="2643"/>
      <c r="H34" s="2643"/>
      <c r="I34" s="2643"/>
      <c r="J34" s="2643"/>
      <c r="K34" s="2643"/>
      <c r="L34" s="2643"/>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9" t="s">
        <v>592</v>
      </c>
      <c r="C36" s="2629"/>
      <c r="D36" s="547"/>
      <c r="E36" s="2556" t="s">
        <v>2252</v>
      </c>
      <c r="F36" s="2557"/>
      <c r="G36" s="2557"/>
      <c r="H36" s="2557"/>
      <c r="I36" s="2557"/>
      <c r="J36" s="2557"/>
      <c r="K36" s="2557"/>
      <c r="L36" s="2557"/>
      <c r="M36" s="2557"/>
      <c r="N36" s="2557"/>
      <c r="O36" s="2557"/>
      <c r="P36" s="2557"/>
      <c r="Q36" s="2557"/>
      <c r="R36" s="2557"/>
      <c r="S36" s="2557"/>
      <c r="T36" s="2557"/>
      <c r="U36" s="2557"/>
      <c r="V36" s="2557"/>
      <c r="W36" s="2557"/>
      <c r="X36" s="2557"/>
      <c r="Y36" s="2557"/>
      <c r="Z36" s="2557"/>
      <c r="AA36" s="2557"/>
      <c r="AB36" s="2557"/>
      <c r="AC36" s="2557"/>
      <c r="AD36" s="2557"/>
      <c r="AE36" s="2557"/>
      <c r="AF36" s="2557"/>
      <c r="AG36" s="2557"/>
      <c r="AH36" s="2557"/>
      <c r="AI36" s="2557"/>
      <c r="AJ36" s="2558"/>
      <c r="AK36" s="540"/>
      <c r="AL36" s="540"/>
      <c r="AM36" s="540"/>
      <c r="AN36" s="535"/>
    </row>
    <row r="37" spans="1:41" s="536" customFormat="1" ht="12.75" customHeight="1">
      <c r="A37" s="540"/>
      <c r="B37" s="540"/>
      <c r="C37" s="540"/>
      <c r="E37" s="2559"/>
      <c r="F37" s="2560"/>
      <c r="G37" s="2560"/>
      <c r="H37" s="2560"/>
      <c r="I37" s="2560"/>
      <c r="J37" s="2560"/>
      <c r="K37" s="2560"/>
      <c r="L37" s="2560"/>
      <c r="M37" s="2560"/>
      <c r="N37" s="2560"/>
      <c r="O37" s="2560"/>
      <c r="P37" s="2560"/>
      <c r="Q37" s="2560"/>
      <c r="R37" s="2560"/>
      <c r="S37" s="2560"/>
      <c r="T37" s="2560"/>
      <c r="U37" s="2560"/>
      <c r="V37" s="2560"/>
      <c r="W37" s="2560"/>
      <c r="X37" s="2560"/>
      <c r="Y37" s="2560"/>
      <c r="Z37" s="2560"/>
      <c r="AA37" s="2560"/>
      <c r="AB37" s="2560"/>
      <c r="AC37" s="2560"/>
      <c r="AD37" s="2560"/>
      <c r="AE37" s="2560"/>
      <c r="AF37" s="2560"/>
      <c r="AG37" s="2560"/>
      <c r="AH37" s="2560"/>
      <c r="AI37" s="2560"/>
      <c r="AJ37" s="2561"/>
      <c r="AK37" s="540"/>
      <c r="AL37" s="540"/>
      <c r="AM37" s="540"/>
      <c r="AN37" s="535"/>
    </row>
    <row r="38" spans="1:41" s="536" customFormat="1" ht="12.75" customHeight="1">
      <c r="A38" s="540"/>
      <c r="B38" s="540"/>
      <c r="C38" s="540"/>
      <c r="E38" s="2581"/>
      <c r="F38" s="2582"/>
      <c r="G38" s="2582"/>
      <c r="H38" s="2582"/>
      <c r="I38" s="2582"/>
      <c r="J38" s="2582"/>
      <c r="K38" s="2582"/>
      <c r="L38" s="2582"/>
      <c r="M38" s="2582"/>
      <c r="N38" s="2582"/>
      <c r="O38" s="2582"/>
      <c r="P38" s="2582"/>
      <c r="Q38" s="2582"/>
      <c r="R38" s="2582"/>
      <c r="S38" s="2582"/>
      <c r="T38" s="2582"/>
      <c r="U38" s="2582"/>
      <c r="V38" s="2582"/>
      <c r="W38" s="2582"/>
      <c r="X38" s="2582"/>
      <c r="Y38" s="2582"/>
      <c r="Z38" s="2582"/>
      <c r="AA38" s="2582"/>
      <c r="AB38" s="2582"/>
      <c r="AC38" s="2582"/>
      <c r="AD38" s="2582"/>
      <c r="AE38" s="2582"/>
      <c r="AF38" s="2582"/>
      <c r="AG38" s="2582"/>
      <c r="AH38" s="2582"/>
      <c r="AI38" s="2582"/>
      <c r="AJ38" s="258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9" t="s">
        <v>592</v>
      </c>
      <c r="C40" s="2629"/>
      <c r="D40" s="547"/>
      <c r="E40" s="2556" t="s">
        <v>2250</v>
      </c>
      <c r="F40" s="2557"/>
      <c r="G40" s="2557"/>
      <c r="H40" s="2557"/>
      <c r="I40" s="2557"/>
      <c r="J40" s="2557"/>
      <c r="K40" s="2557"/>
      <c r="L40" s="2557"/>
      <c r="M40" s="2557"/>
      <c r="N40" s="2557"/>
      <c r="O40" s="2557"/>
      <c r="P40" s="2557"/>
      <c r="Q40" s="2557"/>
      <c r="R40" s="2557"/>
      <c r="S40" s="2557"/>
      <c r="T40" s="2557"/>
      <c r="U40" s="2557"/>
      <c r="V40" s="2557"/>
      <c r="W40" s="2557"/>
      <c r="X40" s="2557"/>
      <c r="Y40" s="2557"/>
      <c r="Z40" s="2557"/>
      <c r="AA40" s="2557"/>
      <c r="AB40" s="2557"/>
      <c r="AC40" s="2557"/>
      <c r="AD40" s="2557"/>
      <c r="AE40" s="2557"/>
      <c r="AF40" s="2557"/>
      <c r="AG40" s="2557"/>
      <c r="AH40" s="2557"/>
      <c r="AI40" s="2557"/>
      <c r="AJ40" s="2558"/>
      <c r="AK40" s="540"/>
      <c r="AL40" s="540"/>
      <c r="AM40" s="540"/>
      <c r="AN40" s="535"/>
    </row>
    <row r="41" spans="1:41" s="536" customFormat="1" ht="12.75" customHeight="1">
      <c r="A41" s="540"/>
      <c r="B41" s="540"/>
      <c r="C41" s="540"/>
      <c r="E41" s="2581"/>
      <c r="F41" s="2582"/>
      <c r="G41" s="2582"/>
      <c r="H41" s="2582"/>
      <c r="I41" s="2582"/>
      <c r="J41" s="2582"/>
      <c r="K41" s="2582"/>
      <c r="L41" s="2582"/>
      <c r="M41" s="2582"/>
      <c r="N41" s="2582"/>
      <c r="O41" s="2582"/>
      <c r="P41" s="2582"/>
      <c r="Q41" s="2582"/>
      <c r="R41" s="2582"/>
      <c r="S41" s="2582"/>
      <c r="T41" s="2582"/>
      <c r="U41" s="2582"/>
      <c r="V41" s="2582"/>
      <c r="W41" s="2582"/>
      <c r="X41" s="2582"/>
      <c r="Y41" s="2582"/>
      <c r="Z41" s="2582"/>
      <c r="AA41" s="2582"/>
      <c r="AB41" s="2582"/>
      <c r="AC41" s="2582"/>
      <c r="AD41" s="2582"/>
      <c r="AE41" s="2582"/>
      <c r="AF41" s="2582"/>
      <c r="AG41" s="2582"/>
      <c r="AH41" s="2582"/>
      <c r="AI41" s="2582"/>
      <c r="AJ41" s="258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9" t="s">
        <v>592</v>
      </c>
      <c r="C45" s="2629"/>
      <c r="D45" s="1142"/>
      <c r="E45" s="2556" t="s">
        <v>2009</v>
      </c>
      <c r="F45" s="2557"/>
      <c r="G45" s="2557"/>
      <c r="H45" s="2557"/>
      <c r="I45" s="2557"/>
      <c r="J45" s="2557"/>
      <c r="K45" s="2557"/>
      <c r="L45" s="2557"/>
      <c r="M45" s="2557"/>
      <c r="N45" s="2557"/>
      <c r="O45" s="2557"/>
      <c r="P45" s="2557"/>
      <c r="Q45" s="2557"/>
      <c r="R45" s="2557"/>
      <c r="S45" s="2557"/>
      <c r="T45" s="2557"/>
      <c r="U45" s="2557"/>
      <c r="V45" s="2557"/>
      <c r="W45" s="2557"/>
      <c r="X45" s="2557"/>
      <c r="Y45" s="2557"/>
      <c r="Z45" s="2557"/>
      <c r="AA45" s="2557"/>
      <c r="AB45" s="2557"/>
      <c r="AC45" s="2557"/>
      <c r="AD45" s="2557"/>
      <c r="AE45" s="2557"/>
      <c r="AF45" s="2557"/>
      <c r="AG45" s="2557"/>
      <c r="AH45" s="2557"/>
      <c r="AI45" s="2557"/>
      <c r="AJ45" s="2558"/>
      <c r="AK45" s="1142"/>
      <c r="AL45" s="540"/>
      <c r="AM45" s="540"/>
      <c r="AN45" s="535"/>
    </row>
    <row r="46" spans="1:41" s="536" customFormat="1" ht="12.75" customHeight="1">
      <c r="A46" s="540"/>
      <c r="B46" s="540"/>
      <c r="C46" s="540"/>
      <c r="E46" s="2559"/>
      <c r="F46" s="2560"/>
      <c r="G46" s="2560"/>
      <c r="H46" s="2560"/>
      <c r="I46" s="2560"/>
      <c r="J46" s="2560"/>
      <c r="K46" s="2560"/>
      <c r="L46" s="2560"/>
      <c r="M46" s="2560"/>
      <c r="N46" s="2560"/>
      <c r="O46" s="2560"/>
      <c r="P46" s="2560"/>
      <c r="Q46" s="2560"/>
      <c r="R46" s="2560"/>
      <c r="S46" s="2560"/>
      <c r="T46" s="2560"/>
      <c r="U46" s="2560"/>
      <c r="V46" s="2560"/>
      <c r="W46" s="2560"/>
      <c r="X46" s="2560"/>
      <c r="Y46" s="2560"/>
      <c r="Z46" s="2560"/>
      <c r="AA46" s="2560"/>
      <c r="AB46" s="2560"/>
      <c r="AC46" s="2560"/>
      <c r="AD46" s="2560"/>
      <c r="AE46" s="2560"/>
      <c r="AF46" s="2560"/>
      <c r="AG46" s="2560"/>
      <c r="AH46" s="2560"/>
      <c r="AI46" s="2560"/>
      <c r="AJ46" s="2561"/>
      <c r="AK46" s="540"/>
      <c r="AL46" s="540"/>
      <c r="AM46" s="540"/>
      <c r="AN46" s="535"/>
    </row>
    <row r="47" spans="1:41" s="536" customFormat="1" ht="12.75" customHeight="1">
      <c r="A47" s="540"/>
      <c r="D47" s="547"/>
      <c r="E47" s="2581"/>
      <c r="F47" s="2582"/>
      <c r="G47" s="2582"/>
      <c r="H47" s="2582"/>
      <c r="I47" s="2582"/>
      <c r="J47" s="2582"/>
      <c r="K47" s="2582"/>
      <c r="L47" s="2582"/>
      <c r="M47" s="2582"/>
      <c r="N47" s="2582"/>
      <c r="O47" s="2582"/>
      <c r="P47" s="2582"/>
      <c r="Q47" s="2582"/>
      <c r="R47" s="2582"/>
      <c r="S47" s="2582"/>
      <c r="T47" s="2582"/>
      <c r="U47" s="2582"/>
      <c r="V47" s="2582"/>
      <c r="W47" s="2582"/>
      <c r="X47" s="2582"/>
      <c r="Y47" s="2582"/>
      <c r="Z47" s="2582"/>
      <c r="AA47" s="2582"/>
      <c r="AB47" s="2582"/>
      <c r="AC47" s="2582"/>
      <c r="AD47" s="2582"/>
      <c r="AE47" s="2582"/>
      <c r="AF47" s="2582"/>
      <c r="AG47" s="2582"/>
      <c r="AH47" s="2582"/>
      <c r="AI47" s="2582"/>
      <c r="AJ47" s="258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9" t="s">
        <v>592</v>
      </c>
      <c r="C52" s="2629"/>
      <c r="D52" s="540"/>
      <c r="E52" s="2556" t="s">
        <v>2014</v>
      </c>
      <c r="F52" s="2557"/>
      <c r="G52" s="2557"/>
      <c r="H52" s="2557"/>
      <c r="I52" s="2557"/>
      <c r="J52" s="2557"/>
      <c r="K52" s="2557"/>
      <c r="L52" s="2557"/>
      <c r="M52" s="2557"/>
      <c r="N52" s="2557"/>
      <c r="O52" s="2557"/>
      <c r="P52" s="2557"/>
      <c r="Q52" s="2557"/>
      <c r="R52" s="2557"/>
      <c r="S52" s="2557"/>
      <c r="T52" s="2557"/>
      <c r="U52" s="2557"/>
      <c r="V52" s="2557"/>
      <c r="W52" s="2557"/>
      <c r="X52" s="2557"/>
      <c r="Y52" s="2557"/>
      <c r="Z52" s="2557"/>
      <c r="AA52" s="2557"/>
      <c r="AB52" s="2557"/>
      <c r="AC52" s="2557"/>
      <c r="AD52" s="2557"/>
      <c r="AE52" s="2557"/>
      <c r="AF52" s="2557"/>
      <c r="AG52" s="2557"/>
      <c r="AH52" s="2557"/>
      <c r="AI52" s="2557"/>
      <c r="AJ52" s="2558"/>
      <c r="AK52" s="540"/>
      <c r="AL52" s="540"/>
      <c r="AM52" s="540"/>
      <c r="AN52" s="535"/>
      <c r="AO52" s="559"/>
    </row>
    <row r="53" spans="1:50" s="536" customFormat="1" ht="12.75" customHeight="1">
      <c r="A53" s="540"/>
      <c r="D53" s="547"/>
      <c r="E53" s="2559"/>
      <c r="F53" s="2560"/>
      <c r="G53" s="2560"/>
      <c r="H53" s="2560"/>
      <c r="I53" s="2560"/>
      <c r="J53" s="2560"/>
      <c r="K53" s="2560"/>
      <c r="L53" s="2560"/>
      <c r="M53" s="2560"/>
      <c r="N53" s="2560"/>
      <c r="O53" s="2560"/>
      <c r="P53" s="2560"/>
      <c r="Q53" s="2560"/>
      <c r="R53" s="2560"/>
      <c r="S53" s="2560"/>
      <c r="T53" s="2560"/>
      <c r="U53" s="2560"/>
      <c r="V53" s="2560"/>
      <c r="W53" s="2560"/>
      <c r="X53" s="2560"/>
      <c r="Y53" s="2560"/>
      <c r="Z53" s="2560"/>
      <c r="AA53" s="2560"/>
      <c r="AB53" s="2560"/>
      <c r="AC53" s="2560"/>
      <c r="AD53" s="2560"/>
      <c r="AE53" s="2560"/>
      <c r="AF53" s="2560"/>
      <c r="AG53" s="2560"/>
      <c r="AH53" s="2560"/>
      <c r="AI53" s="2560"/>
      <c r="AJ53" s="2561"/>
      <c r="AK53" s="540"/>
      <c r="AL53" s="540"/>
      <c r="AM53" s="540"/>
      <c r="AN53" s="535"/>
      <c r="AO53" s="559"/>
    </row>
    <row r="54" spans="1:50" s="536" customFormat="1" ht="12.75" customHeight="1">
      <c r="A54" s="540"/>
      <c r="D54" s="540"/>
      <c r="E54" s="2581"/>
      <c r="F54" s="2582"/>
      <c r="G54" s="2582"/>
      <c r="H54" s="2582"/>
      <c r="I54" s="2582"/>
      <c r="J54" s="2582"/>
      <c r="K54" s="2582"/>
      <c r="L54" s="2582"/>
      <c r="M54" s="2582"/>
      <c r="N54" s="2582"/>
      <c r="O54" s="2582"/>
      <c r="P54" s="2582"/>
      <c r="Q54" s="2582"/>
      <c r="R54" s="2582"/>
      <c r="S54" s="2582"/>
      <c r="T54" s="2582"/>
      <c r="U54" s="2582"/>
      <c r="V54" s="2582"/>
      <c r="W54" s="2582"/>
      <c r="X54" s="2582"/>
      <c r="Y54" s="2582"/>
      <c r="Z54" s="2582"/>
      <c r="AA54" s="2582"/>
      <c r="AB54" s="2582"/>
      <c r="AC54" s="2582"/>
      <c r="AD54" s="2582"/>
      <c r="AE54" s="2582"/>
      <c r="AF54" s="2582"/>
      <c r="AG54" s="2582"/>
      <c r="AH54" s="2582"/>
      <c r="AI54" s="2582"/>
      <c r="AJ54" s="258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9" t="s">
        <v>592</v>
      </c>
      <c r="C56" s="2629"/>
      <c r="D56" s="540"/>
      <c r="E56" s="2655" t="s">
        <v>2015</v>
      </c>
      <c r="F56" s="2656"/>
      <c r="G56" s="2656"/>
      <c r="H56" s="2656"/>
      <c r="I56" s="2656"/>
      <c r="J56" s="2656"/>
      <c r="K56" s="2656"/>
      <c r="L56" s="2656"/>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9" t="s">
        <v>592</v>
      </c>
      <c r="C58" s="2629"/>
      <c r="D58" s="540"/>
      <c r="E58" s="2556" t="s">
        <v>2016</v>
      </c>
      <c r="F58" s="2557"/>
      <c r="G58" s="2557"/>
      <c r="H58" s="2557"/>
      <c r="I58" s="2557"/>
      <c r="J58" s="2557"/>
      <c r="K58" s="2557"/>
      <c r="L58" s="2557"/>
      <c r="M58" s="2557"/>
      <c r="N58" s="2557"/>
      <c r="O58" s="2557"/>
      <c r="P58" s="2557"/>
      <c r="Q58" s="2557"/>
      <c r="R58" s="2557"/>
      <c r="S58" s="2557"/>
      <c r="T58" s="2557"/>
      <c r="U58" s="2557"/>
      <c r="V58" s="2557"/>
      <c r="W58" s="2557"/>
      <c r="X58" s="2557"/>
      <c r="Y58" s="2557"/>
      <c r="Z58" s="2557"/>
      <c r="AA58" s="2557"/>
      <c r="AB58" s="2557"/>
      <c r="AC58" s="2557"/>
      <c r="AD58" s="2557"/>
      <c r="AE58" s="2557"/>
      <c r="AF58" s="2557"/>
      <c r="AG58" s="2557"/>
      <c r="AH58" s="2557"/>
      <c r="AI58" s="2557"/>
      <c r="AJ58" s="2558"/>
      <c r="AK58" s="540"/>
      <c r="AL58" s="540"/>
      <c r="AM58" s="540"/>
      <c r="AN58" s="535"/>
    </row>
    <row r="59" spans="1:50" s="536" customFormat="1" ht="12.75" customHeight="1">
      <c r="A59" s="540"/>
      <c r="B59" s="547"/>
      <c r="C59" s="547"/>
      <c r="D59" s="547"/>
      <c r="E59" s="2581"/>
      <c r="F59" s="2582"/>
      <c r="G59" s="2582"/>
      <c r="H59" s="2582"/>
      <c r="I59" s="2582"/>
      <c r="J59" s="2582"/>
      <c r="K59" s="2582"/>
      <c r="L59" s="2582"/>
      <c r="M59" s="2582"/>
      <c r="N59" s="2582"/>
      <c r="O59" s="2582"/>
      <c r="P59" s="2582"/>
      <c r="Q59" s="2582"/>
      <c r="R59" s="2582"/>
      <c r="S59" s="2582"/>
      <c r="T59" s="2582"/>
      <c r="U59" s="2582"/>
      <c r="V59" s="2582"/>
      <c r="W59" s="2582"/>
      <c r="X59" s="2582"/>
      <c r="Y59" s="2582"/>
      <c r="Z59" s="2582"/>
      <c r="AA59" s="2582"/>
      <c r="AB59" s="2582"/>
      <c r="AC59" s="2582"/>
      <c r="AD59" s="2582"/>
      <c r="AE59" s="2582"/>
      <c r="AF59" s="2582"/>
      <c r="AG59" s="2582"/>
      <c r="AH59" s="2582"/>
      <c r="AI59" s="2582"/>
      <c r="AJ59" s="258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602">
        <f>AO39</f>
        <v>0</v>
      </c>
      <c r="AL62" s="2603"/>
      <c r="AM62" s="260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6" t="s">
        <v>1315</v>
      </c>
      <c r="AF65" s="2476"/>
      <c r="AG65" s="2476"/>
      <c r="AH65" s="2476"/>
      <c r="AI65" s="2476"/>
      <c r="AJ65" s="2476"/>
      <c r="AK65" s="247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9" t="s">
        <v>546</v>
      </c>
      <c r="C68" s="2629"/>
      <c r="D68" s="547" t="s">
        <v>1316</v>
      </c>
      <c r="E68" s="2621" t="s">
        <v>2017</v>
      </c>
      <c r="F68" s="2622"/>
      <c r="G68" s="2622"/>
      <c r="H68" s="2622"/>
      <c r="I68" s="2622"/>
      <c r="J68" s="2622"/>
      <c r="K68" s="2622"/>
      <c r="L68" s="2622"/>
      <c r="M68" s="2622"/>
      <c r="N68" s="2622"/>
      <c r="O68" s="2622"/>
      <c r="P68" s="2622"/>
      <c r="Q68" s="2622"/>
      <c r="R68" s="2622"/>
      <c r="S68" s="2622"/>
      <c r="T68" s="2622"/>
      <c r="U68" s="2622"/>
      <c r="V68" s="2622"/>
      <c r="W68" s="2622"/>
      <c r="X68" s="2622"/>
      <c r="Y68" s="2622"/>
      <c r="Z68" s="2622"/>
      <c r="AA68" s="2622"/>
      <c r="AB68" s="2622"/>
      <c r="AC68" s="2622"/>
      <c r="AD68" s="2622"/>
      <c r="AE68" s="2622"/>
      <c r="AF68" s="2622"/>
      <c r="AG68" s="2622"/>
      <c r="AH68" s="2622"/>
      <c r="AI68" s="2622"/>
      <c r="AJ68" s="2623"/>
      <c r="AK68" s="543"/>
      <c r="AL68" s="540"/>
      <c r="AM68" s="540"/>
      <c r="AN68" s="535"/>
      <c r="AO68" s="550">
        <f>IF($B68="yes",10,0)</f>
        <v>10</v>
      </c>
    </row>
    <row r="69" spans="1:42" s="536" customFormat="1" ht="12.75" customHeight="1">
      <c r="A69" s="538"/>
      <c r="B69" s="540"/>
      <c r="C69" s="540"/>
      <c r="D69" s="551"/>
      <c r="E69" s="2624"/>
      <c r="F69" s="2625"/>
      <c r="G69" s="2625"/>
      <c r="H69" s="2625"/>
      <c r="I69" s="2625"/>
      <c r="J69" s="2625"/>
      <c r="K69" s="2625"/>
      <c r="L69" s="2625"/>
      <c r="M69" s="2625"/>
      <c r="N69" s="2625"/>
      <c r="O69" s="2625"/>
      <c r="P69" s="2625"/>
      <c r="Q69" s="2625"/>
      <c r="R69" s="2625"/>
      <c r="S69" s="2625"/>
      <c r="T69" s="2625"/>
      <c r="U69" s="2625"/>
      <c r="V69" s="2625"/>
      <c r="W69" s="2625"/>
      <c r="X69" s="2625"/>
      <c r="Y69" s="2625"/>
      <c r="Z69" s="2625"/>
      <c r="AA69" s="2625"/>
      <c r="AB69" s="2625"/>
      <c r="AC69" s="2625"/>
      <c r="AD69" s="2625"/>
      <c r="AE69" s="2625"/>
      <c r="AF69" s="2625"/>
      <c r="AG69" s="2625"/>
      <c r="AH69" s="2625"/>
      <c r="AI69" s="2625"/>
      <c r="AJ69" s="2626"/>
      <c r="AK69" s="543"/>
      <c r="AL69" s="540"/>
      <c r="AM69" s="540"/>
      <c r="AN69" s="535"/>
      <c r="AO69" s="550">
        <f>IF($B74="yes",10,0)</f>
        <v>10</v>
      </c>
    </row>
    <row r="70" spans="1:42" s="536" customFormat="1" ht="12.75" customHeight="1">
      <c r="A70" s="538"/>
      <c r="B70" s="540"/>
      <c r="C70" s="540"/>
      <c r="D70" s="551"/>
      <c r="E70" s="2624"/>
      <c r="F70" s="2625"/>
      <c r="G70" s="2625"/>
      <c r="H70" s="2625"/>
      <c r="I70" s="2625"/>
      <c r="J70" s="2625"/>
      <c r="K70" s="2625"/>
      <c r="L70" s="2625"/>
      <c r="M70" s="2625"/>
      <c r="N70" s="2625"/>
      <c r="O70" s="2625"/>
      <c r="P70" s="2625"/>
      <c r="Q70" s="2625"/>
      <c r="R70" s="2625"/>
      <c r="S70" s="2625"/>
      <c r="T70" s="2625"/>
      <c r="U70" s="2625"/>
      <c r="V70" s="2625"/>
      <c r="W70" s="2625"/>
      <c r="X70" s="2625"/>
      <c r="Y70" s="2625"/>
      <c r="Z70" s="2625"/>
      <c r="AA70" s="2625"/>
      <c r="AB70" s="2625"/>
      <c r="AC70" s="2625"/>
      <c r="AD70" s="2625"/>
      <c r="AE70" s="2625"/>
      <c r="AF70" s="2625"/>
      <c r="AG70" s="2625"/>
      <c r="AH70" s="2625"/>
      <c r="AI70" s="2625"/>
      <c r="AJ70" s="2626"/>
      <c r="AK70" s="543"/>
      <c r="AL70" s="540"/>
      <c r="AM70" s="540"/>
      <c r="AN70" s="535"/>
      <c r="AO70" s="550">
        <f>IF($B81="yes",10,0)</f>
        <v>0</v>
      </c>
    </row>
    <row r="71" spans="1:42" s="536" customFormat="1" ht="12.75" customHeight="1">
      <c r="A71" s="538"/>
      <c r="B71" s="540"/>
      <c r="C71" s="540"/>
      <c r="D71" s="551"/>
      <c r="E71" s="2624"/>
      <c r="F71" s="2625"/>
      <c r="G71" s="2625"/>
      <c r="H71" s="2625"/>
      <c r="I71" s="2625"/>
      <c r="J71" s="2625"/>
      <c r="K71" s="2625"/>
      <c r="L71" s="2625"/>
      <c r="M71" s="2625"/>
      <c r="N71" s="2625"/>
      <c r="O71" s="2625"/>
      <c r="P71" s="2625"/>
      <c r="Q71" s="2625"/>
      <c r="R71" s="2625"/>
      <c r="S71" s="2625"/>
      <c r="T71" s="2625"/>
      <c r="U71" s="2625"/>
      <c r="V71" s="2625"/>
      <c r="W71" s="2625"/>
      <c r="X71" s="2625"/>
      <c r="Y71" s="2625"/>
      <c r="Z71" s="2625"/>
      <c r="AA71" s="2625"/>
      <c r="AB71" s="2625"/>
      <c r="AC71" s="2625"/>
      <c r="AD71" s="2625"/>
      <c r="AE71" s="2625"/>
      <c r="AF71" s="2625"/>
      <c r="AG71" s="2625"/>
      <c r="AH71" s="2625"/>
      <c r="AI71" s="2625"/>
      <c r="AJ71" s="2626"/>
      <c r="AK71" s="543"/>
      <c r="AL71" s="540"/>
      <c r="AM71" s="540"/>
      <c r="AN71" s="535"/>
      <c r="AO71" s="536">
        <f>IF(SUM(AO68:AO70)&gt;10,10,(SUM(AO68:AO70)))</f>
        <v>10</v>
      </c>
      <c r="AP71" s="574" t="s">
        <v>1317</v>
      </c>
    </row>
    <row r="72" spans="1:42" s="536" customFormat="1" ht="12.75" customHeight="1">
      <c r="A72" s="538"/>
      <c r="B72" s="540"/>
      <c r="C72" s="540"/>
      <c r="D72" s="551"/>
      <c r="E72" s="2651"/>
      <c r="F72" s="2652"/>
      <c r="G72" s="2652"/>
      <c r="H72" s="2652"/>
      <c r="I72" s="2652"/>
      <c r="J72" s="2652"/>
      <c r="K72" s="2652"/>
      <c r="L72" s="2652"/>
      <c r="M72" s="2652"/>
      <c r="N72" s="2652"/>
      <c r="O72" s="2652"/>
      <c r="P72" s="2652"/>
      <c r="Q72" s="2652"/>
      <c r="R72" s="2652"/>
      <c r="S72" s="2652"/>
      <c r="T72" s="2652"/>
      <c r="U72" s="2652"/>
      <c r="V72" s="2652"/>
      <c r="W72" s="2652"/>
      <c r="X72" s="2652"/>
      <c r="Y72" s="2652"/>
      <c r="Z72" s="2652"/>
      <c r="AA72" s="2652"/>
      <c r="AB72" s="2652"/>
      <c r="AC72" s="2652"/>
      <c r="AD72" s="2652"/>
      <c r="AE72" s="2652"/>
      <c r="AF72" s="2652"/>
      <c r="AG72" s="2652"/>
      <c r="AH72" s="2652"/>
      <c r="AI72" s="2652"/>
      <c r="AJ72" s="265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9" t="s">
        <v>546</v>
      </c>
      <c r="C74" s="262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54" t="s">
        <v>592</v>
      </c>
      <c r="F75" s="262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9" t="s">
        <v>592</v>
      </c>
      <c r="F76" s="2650"/>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9" t="s">
        <v>546</v>
      </c>
      <c r="F77" s="2650"/>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54" t="s">
        <v>592</v>
      </c>
      <c r="F79" s="262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9" t="s">
        <v>592</v>
      </c>
      <c r="C81" s="2629"/>
      <c r="D81" s="547" t="s">
        <v>1321</v>
      </c>
      <c r="E81" s="2556" t="s">
        <v>1741</v>
      </c>
      <c r="F81" s="2557"/>
      <c r="G81" s="2557"/>
      <c r="H81" s="2557"/>
      <c r="I81" s="2557"/>
      <c r="J81" s="2557"/>
      <c r="K81" s="2557"/>
      <c r="L81" s="2557"/>
      <c r="M81" s="2557"/>
      <c r="N81" s="2557"/>
      <c r="O81" s="2557"/>
      <c r="P81" s="2557"/>
      <c r="Q81" s="2557"/>
      <c r="R81" s="2557"/>
      <c r="S81" s="2557"/>
      <c r="T81" s="2557"/>
      <c r="U81" s="2557"/>
      <c r="V81" s="2557"/>
      <c r="W81" s="2557"/>
      <c r="X81" s="2557"/>
      <c r="Y81" s="2557"/>
      <c r="Z81" s="2557"/>
      <c r="AA81" s="2557"/>
      <c r="AB81" s="2557"/>
      <c r="AC81" s="2557"/>
      <c r="AD81" s="2557"/>
      <c r="AE81" s="2557"/>
      <c r="AF81" s="2557"/>
      <c r="AG81" s="2557"/>
      <c r="AH81" s="2557"/>
      <c r="AI81" s="2557"/>
      <c r="AJ81" s="2558"/>
      <c r="AK81" s="543"/>
      <c r="AL81" s="540"/>
      <c r="AM81" s="540"/>
      <c r="AN81" s="535"/>
    </row>
    <row r="82" spans="1:43" s="536" customFormat="1" ht="12.75" customHeight="1">
      <c r="A82" s="538"/>
      <c r="B82" s="540"/>
      <c r="C82" s="540"/>
      <c r="D82" s="550"/>
      <c r="E82" s="2581"/>
      <c r="F82" s="2582"/>
      <c r="G82" s="2582"/>
      <c r="H82" s="2582"/>
      <c r="I82" s="2582"/>
      <c r="J82" s="2582"/>
      <c r="K82" s="2582"/>
      <c r="L82" s="2582"/>
      <c r="M82" s="2582"/>
      <c r="N82" s="2582"/>
      <c r="O82" s="2582"/>
      <c r="P82" s="2582"/>
      <c r="Q82" s="2582"/>
      <c r="R82" s="2582"/>
      <c r="S82" s="2582"/>
      <c r="T82" s="2582"/>
      <c r="U82" s="2582"/>
      <c r="V82" s="2582"/>
      <c r="W82" s="2582"/>
      <c r="X82" s="2582"/>
      <c r="Y82" s="2582"/>
      <c r="Z82" s="2582"/>
      <c r="AA82" s="2582"/>
      <c r="AB82" s="2582"/>
      <c r="AC82" s="2582"/>
      <c r="AD82" s="2582"/>
      <c r="AE82" s="2582"/>
      <c r="AF82" s="2582"/>
      <c r="AG82" s="2582"/>
      <c r="AH82" s="2582"/>
      <c r="AI82" s="2582"/>
      <c r="AJ82" s="258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602">
        <f>IF(AK62&gt;0,0,AO71)</f>
        <v>10</v>
      </c>
      <c r="AL84" s="2603"/>
      <c r="AM84" s="260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6" t="s">
        <v>1306</v>
      </c>
      <c r="AF87" s="2476"/>
      <c r="AG87" s="2476"/>
      <c r="AH87" s="2476"/>
      <c r="AI87" s="2476"/>
      <c r="AJ87" s="2476"/>
      <c r="AK87" s="247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9" t="s">
        <v>592</v>
      </c>
      <c r="C90" s="2629"/>
      <c r="D90" s="547" t="s">
        <v>1316</v>
      </c>
      <c r="E90" s="2621" t="s">
        <v>1326</v>
      </c>
      <c r="F90" s="2622"/>
      <c r="G90" s="2622"/>
      <c r="H90" s="2622"/>
      <c r="I90" s="2622"/>
      <c r="J90" s="2622"/>
      <c r="K90" s="2622"/>
      <c r="L90" s="2622"/>
      <c r="M90" s="2622"/>
      <c r="N90" s="2622"/>
      <c r="O90" s="2622"/>
      <c r="P90" s="2622"/>
      <c r="Q90" s="2622"/>
      <c r="R90" s="2622"/>
      <c r="S90" s="2622"/>
      <c r="T90" s="2622"/>
      <c r="U90" s="2622"/>
      <c r="V90" s="2622"/>
      <c r="W90" s="2622"/>
      <c r="X90" s="2622"/>
      <c r="Y90" s="2622"/>
      <c r="Z90" s="2622"/>
      <c r="AA90" s="2622"/>
      <c r="AB90" s="2622"/>
      <c r="AC90" s="2622"/>
      <c r="AD90" s="2622"/>
      <c r="AE90" s="2622"/>
      <c r="AF90" s="2622"/>
      <c r="AG90" s="2622"/>
      <c r="AH90" s="2622"/>
      <c r="AI90" s="2622"/>
      <c r="AJ90" s="2623"/>
      <c r="AK90" s="543"/>
      <c r="AL90" s="540"/>
      <c r="AM90" s="540"/>
      <c r="AN90" s="535"/>
    </row>
    <row r="91" spans="1:43" s="536" customFormat="1" ht="12.75" customHeight="1">
      <c r="A91" s="538"/>
      <c r="B91" s="539"/>
      <c r="C91" s="539"/>
      <c r="D91" s="539"/>
      <c r="E91" s="2624"/>
      <c r="F91" s="2625"/>
      <c r="G91" s="2625"/>
      <c r="H91" s="2625"/>
      <c r="I91" s="2625"/>
      <c r="J91" s="2625"/>
      <c r="K91" s="2625"/>
      <c r="L91" s="2625"/>
      <c r="M91" s="2625"/>
      <c r="N91" s="2625"/>
      <c r="O91" s="2625"/>
      <c r="P91" s="2625"/>
      <c r="Q91" s="2625"/>
      <c r="R91" s="2625"/>
      <c r="S91" s="2625"/>
      <c r="T91" s="2625"/>
      <c r="U91" s="2625"/>
      <c r="V91" s="2625"/>
      <c r="W91" s="2625"/>
      <c r="X91" s="2625"/>
      <c r="Y91" s="2625"/>
      <c r="Z91" s="2625"/>
      <c r="AA91" s="2625"/>
      <c r="AB91" s="2625"/>
      <c r="AC91" s="2625"/>
      <c r="AD91" s="2625"/>
      <c r="AE91" s="2625"/>
      <c r="AF91" s="2625"/>
      <c r="AG91" s="2625"/>
      <c r="AH91" s="2625"/>
      <c r="AI91" s="2625"/>
      <c r="AJ91" s="262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7">
        <f>Application!AC753</f>
        <v>0.59777777777777774</v>
      </c>
      <c r="F93" s="2618"/>
      <c r="G93" s="2618"/>
      <c r="H93" s="261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8">
        <f>0.6-ROUNDUP(E93,2)</f>
        <v>0</v>
      </c>
      <c r="F94" s="2423"/>
      <c r="G94" s="2423"/>
      <c r="H94" s="242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33">
        <f>IF(E94*200&gt;20,20,E94*200)</f>
        <v>0</v>
      </c>
      <c r="F95" s="2634"/>
      <c r="G95" s="2634"/>
      <c r="H95" s="263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9" t="s">
        <v>546</v>
      </c>
      <c r="C98" s="2629"/>
      <c r="D98" s="547" t="s">
        <v>1318</v>
      </c>
      <c r="E98" s="2621" t="s">
        <v>1726</v>
      </c>
      <c r="F98" s="2622"/>
      <c r="G98" s="2622"/>
      <c r="H98" s="2622"/>
      <c r="I98" s="2622"/>
      <c r="J98" s="2622"/>
      <c r="K98" s="2622"/>
      <c r="L98" s="2622"/>
      <c r="M98" s="2622"/>
      <c r="N98" s="2622"/>
      <c r="O98" s="2622"/>
      <c r="P98" s="2622"/>
      <c r="Q98" s="2622"/>
      <c r="R98" s="2622"/>
      <c r="S98" s="2622"/>
      <c r="T98" s="2622"/>
      <c r="U98" s="2622"/>
      <c r="V98" s="2622"/>
      <c r="W98" s="2622"/>
      <c r="X98" s="2622"/>
      <c r="Y98" s="2622"/>
      <c r="Z98" s="2622"/>
      <c r="AA98" s="2622"/>
      <c r="AB98" s="2622"/>
      <c r="AC98" s="2622"/>
      <c r="AD98" s="2622"/>
      <c r="AE98" s="2622"/>
      <c r="AF98" s="2622"/>
      <c r="AG98" s="2622"/>
      <c r="AH98" s="2622"/>
      <c r="AI98" s="2622"/>
      <c r="AJ98" s="2623"/>
      <c r="AK98" s="543"/>
      <c r="AL98" s="540"/>
      <c r="AM98" s="540"/>
      <c r="AN98" s="535"/>
    </row>
    <row r="99" spans="1:47" s="536" customFormat="1" ht="12.75" customHeight="1">
      <c r="A99" s="538"/>
      <c r="B99" s="539"/>
      <c r="C99" s="539"/>
      <c r="D99" s="539"/>
      <c r="E99" s="2624"/>
      <c r="F99" s="2625"/>
      <c r="G99" s="2625"/>
      <c r="H99" s="2625"/>
      <c r="I99" s="2625"/>
      <c r="J99" s="2625"/>
      <c r="K99" s="2625"/>
      <c r="L99" s="2625"/>
      <c r="M99" s="2625"/>
      <c r="N99" s="2625"/>
      <c r="O99" s="2625"/>
      <c r="P99" s="2625"/>
      <c r="Q99" s="2625"/>
      <c r="R99" s="2625"/>
      <c r="S99" s="2625"/>
      <c r="T99" s="2625"/>
      <c r="U99" s="2625"/>
      <c r="V99" s="2625"/>
      <c r="W99" s="2625"/>
      <c r="X99" s="2625"/>
      <c r="Y99" s="2625"/>
      <c r="Z99" s="2625"/>
      <c r="AA99" s="2625"/>
      <c r="AB99" s="2625"/>
      <c r="AC99" s="2625"/>
      <c r="AD99" s="2625"/>
      <c r="AE99" s="2625"/>
      <c r="AF99" s="2625"/>
      <c r="AG99" s="2625"/>
      <c r="AH99" s="2625"/>
      <c r="AI99" s="2625"/>
      <c r="AJ99" s="2626"/>
      <c r="AK99" s="543"/>
      <c r="AL99" s="540"/>
      <c r="AM99" s="540"/>
      <c r="AN99" s="535"/>
    </row>
    <row r="100" spans="1:47" s="536" customFormat="1" ht="12.75" customHeight="1">
      <c r="A100" s="538"/>
      <c r="B100" s="539"/>
      <c r="C100" s="539"/>
      <c r="D100" s="539"/>
      <c r="E100" s="2624"/>
      <c r="F100" s="2625"/>
      <c r="G100" s="2625"/>
      <c r="H100" s="2625"/>
      <c r="I100" s="2625"/>
      <c r="J100" s="2625"/>
      <c r="K100" s="2625"/>
      <c r="L100" s="2625"/>
      <c r="M100" s="2625"/>
      <c r="N100" s="2625"/>
      <c r="O100" s="2625"/>
      <c r="P100" s="2625"/>
      <c r="Q100" s="2625"/>
      <c r="R100" s="2625"/>
      <c r="S100" s="2625"/>
      <c r="T100" s="2625"/>
      <c r="U100" s="2625"/>
      <c r="V100" s="2625"/>
      <c r="W100" s="2625"/>
      <c r="X100" s="2625"/>
      <c r="Y100" s="2625"/>
      <c r="Z100" s="2625"/>
      <c r="AA100" s="2625"/>
      <c r="AB100" s="2625"/>
      <c r="AC100" s="2625"/>
      <c r="AD100" s="2625"/>
      <c r="AE100" s="2625"/>
      <c r="AF100" s="2625"/>
      <c r="AG100" s="2625"/>
      <c r="AH100" s="2625"/>
      <c r="AI100" s="2625"/>
      <c r="AJ100" s="2626"/>
      <c r="AK100" s="543"/>
      <c r="AL100" s="540"/>
      <c r="AM100" s="540"/>
      <c r="AN100" s="535"/>
    </row>
    <row r="101" spans="1:47" s="536" customFormat="1" ht="12.75" customHeight="1">
      <c r="A101" s="538"/>
      <c r="B101" s="539"/>
      <c r="C101" s="539"/>
      <c r="D101" s="539"/>
      <c r="E101" s="2624"/>
      <c r="F101" s="2625"/>
      <c r="G101" s="2625"/>
      <c r="H101" s="2625"/>
      <c r="I101" s="2625"/>
      <c r="J101" s="2625"/>
      <c r="K101" s="2625"/>
      <c r="L101" s="2625"/>
      <c r="M101" s="2625"/>
      <c r="N101" s="2625"/>
      <c r="O101" s="2625"/>
      <c r="P101" s="2625"/>
      <c r="Q101" s="2625"/>
      <c r="R101" s="2625"/>
      <c r="S101" s="2625"/>
      <c r="T101" s="2625"/>
      <c r="U101" s="2625"/>
      <c r="V101" s="2625"/>
      <c r="W101" s="2625"/>
      <c r="X101" s="2625"/>
      <c r="Y101" s="2625"/>
      <c r="Z101" s="2625"/>
      <c r="AA101" s="2625"/>
      <c r="AB101" s="2625"/>
      <c r="AC101" s="2625"/>
      <c r="AD101" s="2625"/>
      <c r="AE101" s="2625"/>
      <c r="AF101" s="2625"/>
      <c r="AG101" s="2625"/>
      <c r="AH101" s="2625"/>
      <c r="AI101" s="2625"/>
      <c r="AJ101" s="262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7">
        <f>Application!AC753</f>
        <v>0.59777777777777774</v>
      </c>
      <c r="F103" s="2618"/>
      <c r="G103" s="2618"/>
      <c r="H103" s="261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7">
        <f ca="1">SUMIF(Application!AC718:AG752,0.2,Application!G718:J752)/Application!G753+SUMIF(Application!AC718:AG752,0.25,Application!G718:J752)/Application!G753+SUMIF(Application!AC718:AG752,0.3,Application!G718:J752)/Application!G753</f>
        <v>0.1111111111111111</v>
      </c>
      <c r="F104" s="2618"/>
      <c r="G104" s="2618"/>
      <c r="H104" s="261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7">
        <f ca="1">SUMIF(Application!AC718:AG752,0.35,Application!G718:J752)/Application!G753+SUMIF(Application!AC718:AG752,0.4,Application!G718:J752)/Application!G753+SUMIF(Application!AC718:AG752,0.45,Application!G718:J752)/Application!G753+SUMIF(Application!AC718:AG752,0.5,Application!G718:J752)/Application!G753</f>
        <v>0.26666666666666666</v>
      </c>
      <c r="F105" s="2618"/>
      <c r="G105" s="2618"/>
      <c r="H105" s="261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15">
        <f ca="1">IF(AND(E103&lt;=0.6,OR(AND(E104&gt;=0.1,E105&gt;=0.1),AND(E104&gt;0.1,(E104+E105)&gt;=0.2))),20,0)</f>
        <v>20</v>
      </c>
      <c r="F106" s="2616"/>
      <c r="G106" s="2616"/>
      <c r="H106" s="261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602">
        <f ca="1">MAX(AP95,AP106)</f>
        <v>20</v>
      </c>
      <c r="AL109" s="2603"/>
      <c r="AM109" s="260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6" t="s">
        <v>1315</v>
      </c>
      <c r="AF112" s="2476"/>
      <c r="AG112" s="2476"/>
      <c r="AH112" s="2476"/>
      <c r="AI112" s="2476"/>
      <c r="AJ112" s="2476"/>
      <c r="AK112" s="2476"/>
      <c r="AL112" s="540"/>
      <c r="AM112" s="540"/>
      <c r="AN112" s="535"/>
      <c r="AO112" s="536" t="str">
        <f>Application!B718</f>
        <v>SRO/Studio</v>
      </c>
      <c r="AQ112" s="536">
        <f>Application!O718</f>
        <v>481</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810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516</v>
      </c>
    </row>
    <row r="115" spans="1:52" s="536" customFormat="1" ht="12.75" customHeight="1">
      <c r="A115" s="540"/>
      <c r="B115" s="2629" t="s">
        <v>546</v>
      </c>
      <c r="C115" s="2629"/>
      <c r="D115" s="547" t="s">
        <v>1316</v>
      </c>
      <c r="E115" s="2621" t="s">
        <v>1858</v>
      </c>
      <c r="F115" s="2622"/>
      <c r="G115" s="2622"/>
      <c r="H115" s="2622"/>
      <c r="I115" s="2622"/>
      <c r="J115" s="2622"/>
      <c r="K115" s="2622"/>
      <c r="L115" s="2622"/>
      <c r="M115" s="2622"/>
      <c r="N115" s="2622"/>
      <c r="O115" s="2622"/>
      <c r="P115" s="2622"/>
      <c r="Q115" s="2622"/>
      <c r="R115" s="2622"/>
      <c r="S115" s="2622"/>
      <c r="T115" s="2622"/>
      <c r="U115" s="2622"/>
      <c r="V115" s="2622"/>
      <c r="W115" s="2622"/>
      <c r="X115" s="2622"/>
      <c r="Y115" s="2622"/>
      <c r="Z115" s="2622"/>
      <c r="AA115" s="2622"/>
      <c r="AB115" s="2622"/>
      <c r="AC115" s="2622"/>
      <c r="AD115" s="2622"/>
      <c r="AE115" s="2622"/>
      <c r="AF115" s="2622"/>
      <c r="AG115" s="2622"/>
      <c r="AH115" s="2622"/>
      <c r="AI115" s="2622"/>
      <c r="AJ115" s="2623"/>
      <c r="AK115" s="540"/>
      <c r="AL115" s="540"/>
      <c r="AM115" s="540"/>
      <c r="AN115" s="535"/>
      <c r="AO115" s="536" t="str">
        <f>Application!B721</f>
        <v>1 Bedroom</v>
      </c>
      <c r="AQ115" s="536">
        <f>Application!O721</f>
        <v>869</v>
      </c>
      <c r="AU115" s="536" t="s">
        <v>1841</v>
      </c>
      <c r="AV115" s="595" t="s">
        <v>1842</v>
      </c>
      <c r="AW115" s="536" t="s">
        <v>1843</v>
      </c>
    </row>
    <row r="116" spans="1:52" s="536" customFormat="1" ht="12.75" customHeight="1">
      <c r="A116" s="540"/>
      <c r="B116" s="539"/>
      <c r="C116" s="539"/>
      <c r="D116" s="539"/>
      <c r="E116" s="2624"/>
      <c r="F116" s="2625"/>
      <c r="G116" s="2625"/>
      <c r="H116" s="2625"/>
      <c r="I116" s="2625"/>
      <c r="J116" s="2625"/>
      <c r="K116" s="2625"/>
      <c r="L116" s="2625"/>
      <c r="M116" s="2625"/>
      <c r="N116" s="2625"/>
      <c r="O116" s="2625"/>
      <c r="P116" s="2625"/>
      <c r="Q116" s="2625"/>
      <c r="R116" s="2625"/>
      <c r="S116" s="2625"/>
      <c r="T116" s="2625"/>
      <c r="U116" s="2625"/>
      <c r="V116" s="2625"/>
      <c r="W116" s="2625"/>
      <c r="X116" s="2625"/>
      <c r="Y116" s="2625"/>
      <c r="Z116" s="2625"/>
      <c r="AA116" s="2625"/>
      <c r="AB116" s="2625"/>
      <c r="AC116" s="2625"/>
      <c r="AD116" s="2625"/>
      <c r="AE116" s="2625"/>
      <c r="AF116" s="2625"/>
      <c r="AG116" s="2625"/>
      <c r="AH116" s="2625"/>
      <c r="AI116" s="2625"/>
      <c r="AJ116" s="2626"/>
      <c r="AK116" s="540"/>
      <c r="AL116" s="540"/>
      <c r="AM116" s="540"/>
      <c r="AN116" s="535"/>
      <c r="AO116" s="536" t="str">
        <f>Application!B722</f>
        <v>1 Bedroom</v>
      </c>
      <c r="AQ116" s="536">
        <f>Application!O722</f>
        <v>1045</v>
      </c>
      <c r="AU116" s="856" t="str">
        <f>E124</f>
        <v>Studio/SRO</v>
      </c>
      <c r="AV116" s="536">
        <f t="array" ref="AV116">SUM(IF(Application!B718:F752="SRO/Studio",Application!G718:J752))</f>
        <v>3</v>
      </c>
      <c r="AW116" s="1011">
        <f>AV116/AV122</f>
        <v>6.6666666666666666E-2</v>
      </c>
    </row>
    <row r="117" spans="1:52" s="536" customFormat="1" ht="12.75" customHeight="1">
      <c r="A117" s="540"/>
      <c r="B117" s="539"/>
      <c r="C117" s="539"/>
      <c r="D117" s="539"/>
      <c r="E117" s="2624"/>
      <c r="F117" s="2625"/>
      <c r="G117" s="2625"/>
      <c r="H117" s="2625"/>
      <c r="I117" s="2625"/>
      <c r="J117" s="2625"/>
      <c r="K117" s="2625"/>
      <c r="L117" s="2625"/>
      <c r="M117" s="2625"/>
      <c r="N117" s="2625"/>
      <c r="O117" s="2625"/>
      <c r="P117" s="2625"/>
      <c r="Q117" s="2625"/>
      <c r="R117" s="2625"/>
      <c r="S117" s="2625"/>
      <c r="T117" s="2625"/>
      <c r="U117" s="2625"/>
      <c r="V117" s="2625"/>
      <c r="W117" s="2625"/>
      <c r="X117" s="2625"/>
      <c r="Y117" s="2625"/>
      <c r="Z117" s="2625"/>
      <c r="AA117" s="2625"/>
      <c r="AB117" s="2625"/>
      <c r="AC117" s="2625"/>
      <c r="AD117" s="2625"/>
      <c r="AE117" s="2625"/>
      <c r="AF117" s="2625"/>
      <c r="AG117" s="2625"/>
      <c r="AH117" s="2625"/>
      <c r="AI117" s="2625"/>
      <c r="AJ117" s="2626"/>
      <c r="AK117" s="540"/>
      <c r="AL117" s="540"/>
      <c r="AM117" s="540"/>
      <c r="AN117" s="535"/>
      <c r="AO117" s="536" t="str">
        <f>Application!B723</f>
        <v>1 Bedroom</v>
      </c>
      <c r="AQ117" s="536">
        <f>Application!O723</f>
        <v>1221</v>
      </c>
      <c r="AU117" s="856" t="str">
        <f>J124</f>
        <v>1-bedroom</v>
      </c>
      <c r="AV117" s="536">
        <f t="array" ref="AV117">SUM(IF(Application!B718:F752="1 Bedroom",Application!G718:J752))</f>
        <v>18</v>
      </c>
      <c r="AW117" s="1011">
        <f>AV117/AV122</f>
        <v>0.4</v>
      </c>
    </row>
    <row r="118" spans="1:52" s="536" customFormat="1" ht="12.75" customHeight="1">
      <c r="A118" s="540"/>
      <c r="B118" s="539"/>
      <c r="C118" s="539"/>
      <c r="D118" s="539"/>
      <c r="E118" s="2624"/>
      <c r="F118" s="2625"/>
      <c r="G118" s="2625"/>
      <c r="H118" s="2625"/>
      <c r="I118" s="2625"/>
      <c r="J118" s="2625"/>
      <c r="K118" s="2625"/>
      <c r="L118" s="2625"/>
      <c r="M118" s="2625"/>
      <c r="N118" s="2625"/>
      <c r="O118" s="2625"/>
      <c r="P118" s="2625"/>
      <c r="Q118" s="2625"/>
      <c r="R118" s="2625"/>
      <c r="S118" s="2625"/>
      <c r="T118" s="2625"/>
      <c r="U118" s="2625"/>
      <c r="V118" s="2625"/>
      <c r="W118" s="2625"/>
      <c r="X118" s="2625"/>
      <c r="Y118" s="2625"/>
      <c r="Z118" s="2625"/>
      <c r="AA118" s="2625"/>
      <c r="AB118" s="2625"/>
      <c r="AC118" s="2625"/>
      <c r="AD118" s="2625"/>
      <c r="AE118" s="2625"/>
      <c r="AF118" s="2625"/>
      <c r="AG118" s="2625"/>
      <c r="AH118" s="2625"/>
      <c r="AI118" s="2625"/>
      <c r="AJ118" s="2626"/>
      <c r="AK118" s="540"/>
      <c r="AL118" s="540"/>
      <c r="AM118" s="540"/>
      <c r="AN118" s="535"/>
      <c r="AO118" s="536" t="str">
        <f>Application!B724</f>
        <v>2 Bedrooms</v>
      </c>
      <c r="AQ118" s="536">
        <f>Application!O724</f>
        <v>622</v>
      </c>
      <c r="AU118" s="856" t="str">
        <f>O124</f>
        <v>2-bedroom</v>
      </c>
      <c r="AV118" s="536">
        <f t="array" ref="AV118">SUM(IF(Application!B718:F752="2 Bedrooms",Application!G718:J752))</f>
        <v>12</v>
      </c>
      <c r="AW118" s="1011">
        <f>AV118/AV122</f>
        <v>0.26666666666666666</v>
      </c>
    </row>
    <row r="119" spans="1:52" s="536" customFormat="1" ht="12.75" customHeight="1">
      <c r="A119" s="540"/>
      <c r="B119" s="539"/>
      <c r="C119" s="539"/>
      <c r="D119" s="539"/>
      <c r="E119" s="2624"/>
      <c r="F119" s="2625"/>
      <c r="G119" s="2625"/>
      <c r="H119" s="2625"/>
      <c r="I119" s="2625"/>
      <c r="J119" s="2625"/>
      <c r="K119" s="2625"/>
      <c r="L119" s="2625"/>
      <c r="M119" s="2625"/>
      <c r="N119" s="2625"/>
      <c r="O119" s="2625"/>
      <c r="P119" s="2625"/>
      <c r="Q119" s="2625"/>
      <c r="R119" s="2625"/>
      <c r="S119" s="2625"/>
      <c r="T119" s="2625"/>
      <c r="U119" s="2625"/>
      <c r="V119" s="2625"/>
      <c r="W119" s="2625"/>
      <c r="X119" s="2625"/>
      <c r="Y119" s="2625"/>
      <c r="Z119" s="2625"/>
      <c r="AA119" s="2625"/>
      <c r="AB119" s="2625"/>
      <c r="AC119" s="2625"/>
      <c r="AD119" s="2625"/>
      <c r="AE119" s="2625"/>
      <c r="AF119" s="2625"/>
      <c r="AG119" s="2625"/>
      <c r="AH119" s="2625"/>
      <c r="AI119" s="2625"/>
      <c r="AJ119" s="2626"/>
      <c r="AK119" s="540"/>
      <c r="AL119" s="540"/>
      <c r="AM119" s="540"/>
      <c r="AN119" s="535"/>
      <c r="AO119" s="536" t="str">
        <f>Application!B725</f>
        <v>2 Bedrooms</v>
      </c>
      <c r="AQ119" s="536">
        <f>Application!O725</f>
        <v>1045</v>
      </c>
      <c r="AU119" s="856" t="str">
        <f>T124</f>
        <v>3-bedroom</v>
      </c>
      <c r="AV119" s="536">
        <f t="array" ref="AV119">SUM(IF(Application!B718:F752="3 Bedrooms",Application!G718:J752))</f>
        <v>12</v>
      </c>
      <c r="AW119" s="1011">
        <f>AV119/AV122</f>
        <v>0.26666666666666666</v>
      </c>
    </row>
    <row r="120" spans="1:52" s="536" customFormat="1" ht="12.75" customHeight="1">
      <c r="A120" s="540"/>
      <c r="B120" s="539"/>
      <c r="C120" s="539"/>
      <c r="D120" s="539"/>
      <c r="E120" s="2624"/>
      <c r="F120" s="2625"/>
      <c r="G120" s="2625"/>
      <c r="H120" s="2625"/>
      <c r="I120" s="2625"/>
      <c r="J120" s="2625"/>
      <c r="K120" s="2625"/>
      <c r="L120" s="2625"/>
      <c r="M120" s="2625"/>
      <c r="N120" s="2625"/>
      <c r="O120" s="2625"/>
      <c r="P120" s="2625"/>
      <c r="Q120" s="2625"/>
      <c r="R120" s="2625"/>
      <c r="S120" s="2625"/>
      <c r="T120" s="2625"/>
      <c r="U120" s="2625"/>
      <c r="V120" s="2625"/>
      <c r="W120" s="2625"/>
      <c r="X120" s="2625"/>
      <c r="Y120" s="2625"/>
      <c r="Z120" s="2625"/>
      <c r="AA120" s="2625"/>
      <c r="AB120" s="2625"/>
      <c r="AC120" s="2625"/>
      <c r="AD120" s="2625"/>
      <c r="AE120" s="2625"/>
      <c r="AF120" s="2625"/>
      <c r="AG120" s="2625"/>
      <c r="AH120" s="2625"/>
      <c r="AI120" s="2625"/>
      <c r="AJ120" s="2626"/>
      <c r="AK120" s="540"/>
      <c r="AL120" s="540"/>
      <c r="AM120" s="540"/>
      <c r="AN120" s="535"/>
      <c r="AO120" s="536" t="str">
        <f>Application!B726</f>
        <v>2 Bedrooms</v>
      </c>
      <c r="AQ120" s="536">
        <f>Application!O726</f>
        <v>1045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24"/>
      <c r="F121" s="2625"/>
      <c r="G121" s="2625"/>
      <c r="H121" s="2625"/>
      <c r="I121" s="2625"/>
      <c r="J121" s="2625"/>
      <c r="K121" s="2625"/>
      <c r="L121" s="2625"/>
      <c r="M121" s="2625"/>
      <c r="N121" s="2625"/>
      <c r="O121" s="2625"/>
      <c r="P121" s="2625"/>
      <c r="Q121" s="2625"/>
      <c r="R121" s="2625"/>
      <c r="S121" s="2625"/>
      <c r="T121" s="2625"/>
      <c r="U121" s="2625"/>
      <c r="V121" s="2625"/>
      <c r="W121" s="2625"/>
      <c r="X121" s="2625"/>
      <c r="Y121" s="2625"/>
      <c r="Z121" s="2625"/>
      <c r="AA121" s="2625"/>
      <c r="AB121" s="2625"/>
      <c r="AC121" s="2625"/>
      <c r="AD121" s="2625"/>
      <c r="AE121" s="2625"/>
      <c r="AF121" s="2625"/>
      <c r="AG121" s="2625"/>
      <c r="AH121" s="2625"/>
      <c r="AI121" s="2625"/>
      <c r="AJ121" s="2626"/>
      <c r="AK121" s="540"/>
      <c r="AL121" s="540"/>
      <c r="AM121" s="540"/>
      <c r="AN121" s="535"/>
      <c r="AO121" s="536" t="str">
        <f>Application!B727</f>
        <v>2 Bedrooms</v>
      </c>
      <c r="AQ121" s="536">
        <f>Application!O727</f>
        <v>1048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24"/>
      <c r="F122" s="2625"/>
      <c r="G122" s="2625"/>
      <c r="H122" s="2625"/>
      <c r="I122" s="2625"/>
      <c r="J122" s="2625"/>
      <c r="K122" s="2625"/>
      <c r="L122" s="2625"/>
      <c r="M122" s="2625"/>
      <c r="N122" s="2625"/>
      <c r="O122" s="2625"/>
      <c r="P122" s="2625"/>
      <c r="Q122" s="2625"/>
      <c r="R122" s="2625"/>
      <c r="S122" s="2625"/>
      <c r="T122" s="2625"/>
      <c r="U122" s="2625"/>
      <c r="V122" s="2625"/>
      <c r="W122" s="2625"/>
      <c r="X122" s="2625"/>
      <c r="Y122" s="2625"/>
      <c r="Z122" s="2625"/>
      <c r="AA122" s="2625"/>
      <c r="AB122" s="2625"/>
      <c r="AC122" s="2625"/>
      <c r="AD122" s="2625"/>
      <c r="AE122" s="2625"/>
      <c r="AF122" s="2625"/>
      <c r="AG122" s="2625"/>
      <c r="AH122" s="2625"/>
      <c r="AI122" s="2625"/>
      <c r="AJ122" s="2626"/>
      <c r="AK122" s="540"/>
      <c r="AL122" s="540"/>
      <c r="AM122" s="540"/>
      <c r="AN122" s="535"/>
      <c r="AO122" s="536" t="str">
        <f>Application!B728</f>
        <v>3 Bedrooms</v>
      </c>
      <c r="AQ122" s="536">
        <f>Application!O728</f>
        <v>720</v>
      </c>
      <c r="AV122" s="536">
        <f>SUM(AV116:AV121)</f>
        <v>45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1175</v>
      </c>
    </row>
    <row r="124" spans="1:52" s="536" customFormat="1" ht="12.75" customHeight="1">
      <c r="A124" s="540"/>
      <c r="B124" s="539"/>
      <c r="C124" s="540"/>
      <c r="D124" s="540"/>
      <c r="E124" s="2617" t="s">
        <v>1589</v>
      </c>
      <c r="F124" s="2618"/>
      <c r="G124" s="2618"/>
      <c r="H124" s="2618"/>
      <c r="I124" s="577"/>
      <c r="J124" s="2618" t="s">
        <v>1632</v>
      </c>
      <c r="K124" s="2618"/>
      <c r="L124" s="2618"/>
      <c r="M124" s="2618"/>
      <c r="N124" s="577"/>
      <c r="O124" s="2618" t="s">
        <v>1633</v>
      </c>
      <c r="P124" s="2618"/>
      <c r="Q124" s="2618"/>
      <c r="R124" s="2618"/>
      <c r="S124" s="577"/>
      <c r="T124" s="2618" t="s">
        <v>1335</v>
      </c>
      <c r="U124" s="2618"/>
      <c r="V124" s="2618"/>
      <c r="W124" s="2618"/>
      <c r="X124" s="577"/>
      <c r="Y124" s="2618" t="s">
        <v>1634</v>
      </c>
      <c r="Z124" s="2618"/>
      <c r="AA124" s="2618"/>
      <c r="AB124" s="2618"/>
      <c r="AC124" s="577"/>
      <c r="AD124" s="2618" t="s">
        <v>1635</v>
      </c>
      <c r="AE124" s="2618"/>
      <c r="AF124" s="2618"/>
      <c r="AG124" s="2618"/>
      <c r="AH124" s="577"/>
      <c r="AI124" s="577"/>
      <c r="AJ124" s="579"/>
      <c r="AK124" s="540"/>
      <c r="AL124" s="540"/>
      <c r="AM124" s="540"/>
      <c r="AN124" s="535"/>
      <c r="AO124" s="536" t="str">
        <f>Application!B730</f>
        <v>3 Bedrooms</v>
      </c>
      <c r="AQ124" s="536">
        <f>Application!O730</f>
        <v>1175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9">
        <v>1347</v>
      </c>
      <c r="F127" s="2620"/>
      <c r="G127" s="2620"/>
      <c r="H127" s="2620"/>
      <c r="I127" s="864"/>
      <c r="J127" s="2620">
        <v>1579</v>
      </c>
      <c r="K127" s="2620"/>
      <c r="L127" s="2620"/>
      <c r="M127" s="2620"/>
      <c r="N127" s="864"/>
      <c r="O127" s="2620">
        <v>1174</v>
      </c>
      <c r="P127" s="2620"/>
      <c r="Q127" s="2620"/>
      <c r="R127" s="2620"/>
      <c r="S127" s="864"/>
      <c r="T127" s="2620">
        <v>1313</v>
      </c>
      <c r="U127" s="2620"/>
      <c r="V127" s="2620"/>
      <c r="W127" s="2620"/>
      <c r="X127" s="864"/>
      <c r="Y127" s="2620"/>
      <c r="Z127" s="2620"/>
      <c r="AA127" s="2620"/>
      <c r="AB127" s="2620"/>
      <c r="AC127" s="864"/>
      <c r="AD127" s="2620"/>
      <c r="AE127" s="2620"/>
      <c r="AF127" s="2620"/>
      <c r="AG127" s="262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7">
        <f>Application!DX670</f>
        <v>700.33333333333326</v>
      </c>
      <c r="F130" s="2628"/>
      <c r="G130" s="2628"/>
      <c r="H130" s="2628"/>
      <c r="I130" s="864"/>
      <c r="J130" s="2628">
        <f>Application!EC670</f>
        <v>1025.3333333333333</v>
      </c>
      <c r="K130" s="2628"/>
      <c r="L130" s="2628"/>
      <c r="M130" s="2628"/>
      <c r="N130" s="864"/>
      <c r="O130" s="2628">
        <f>Application!EH670</f>
        <v>1011.75</v>
      </c>
      <c r="P130" s="2628"/>
      <c r="Q130" s="2628"/>
      <c r="R130" s="2628"/>
      <c r="S130" s="868"/>
      <c r="T130" s="2628">
        <f>Application!EM670</f>
        <v>1137.0833333333333</v>
      </c>
      <c r="U130" s="2628"/>
      <c r="V130" s="2628"/>
      <c r="W130" s="2628"/>
      <c r="X130" s="868"/>
      <c r="Y130" s="2628">
        <f>Application!ER670</f>
        <v>0</v>
      </c>
      <c r="Z130" s="2628"/>
      <c r="AA130" s="2628"/>
      <c r="AB130" s="2628"/>
      <c r="AC130" s="868"/>
      <c r="AD130" s="2628">
        <f>Application!EW670</f>
        <v>0</v>
      </c>
      <c r="AE130" s="2628"/>
      <c r="AF130" s="2628"/>
      <c r="AG130" s="262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22">
        <f>(E127-E130)/E127</f>
        <v>0.4800791883197229</v>
      </c>
      <c r="F133" s="2423"/>
      <c r="G133" s="2423"/>
      <c r="H133" s="2424"/>
      <c r="I133" s="577"/>
      <c r="J133" s="2422">
        <f>(J127-J130)/J127</f>
        <v>0.35064386742664139</v>
      </c>
      <c r="K133" s="2423"/>
      <c r="L133" s="2423"/>
      <c r="M133" s="2424"/>
      <c r="N133" s="577"/>
      <c r="O133" s="2422">
        <f>(O127-O130)/O127</f>
        <v>0.13820272572402045</v>
      </c>
      <c r="P133" s="2423"/>
      <c r="Q133" s="2423"/>
      <c r="R133" s="2424"/>
      <c r="S133" s="577"/>
      <c r="T133" s="2422">
        <f>(T127-T130)/T127</f>
        <v>0.13398070576288404</v>
      </c>
      <c r="U133" s="2423"/>
      <c r="V133" s="2423"/>
      <c r="W133" s="2424"/>
      <c r="X133" s="577"/>
      <c r="Y133" s="2422" t="e">
        <f>(Y127-Y130)/Y127</f>
        <v>#DIV/0!</v>
      </c>
      <c r="Z133" s="2423"/>
      <c r="AA133" s="2423"/>
      <c r="AB133" s="2424"/>
      <c r="AC133" s="577"/>
      <c r="AD133" s="2422" t="e">
        <f>(AD127-AD130)/AD127</f>
        <v>#DIV/0!</v>
      </c>
      <c r="AE133" s="2423"/>
      <c r="AF133" s="2423"/>
      <c r="AG133" s="242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30">
        <f>IF(((E133-0.1)*AW116)&gt;0,((E133-0.1)*AW116),0)</f>
        <v>2.5338612554648192E-2</v>
      </c>
      <c r="F136" s="2631"/>
      <c r="G136" s="2631"/>
      <c r="H136" s="2632"/>
      <c r="I136" s="577"/>
      <c r="J136" s="2630">
        <f>IF(((J133-0.1)*AW117)&gt;0,((J133-0.1)*AW117),0)</f>
        <v>0.10025754697065654</v>
      </c>
      <c r="K136" s="2631"/>
      <c r="L136" s="2631"/>
      <c r="M136" s="2632"/>
      <c r="N136" s="577"/>
      <c r="O136" s="2630">
        <f>IF(((O133-0.1)*AW118)&gt;0,((O133-0.1)*AW118),0)</f>
        <v>1.0187393526405453E-2</v>
      </c>
      <c r="P136" s="2631"/>
      <c r="Q136" s="2631"/>
      <c r="R136" s="2632"/>
      <c r="S136" s="577"/>
      <c r="T136" s="2630">
        <f>IF(((T133-0.1)*AW119)&gt;0,((T133-0.1)*AW119),0)</f>
        <v>9.0615215367690748E-3</v>
      </c>
      <c r="U136" s="2631"/>
      <c r="V136" s="2631"/>
      <c r="W136" s="2632"/>
      <c r="X136" s="577"/>
      <c r="Y136" s="2630" t="e">
        <f>IF(((Y133-0.1)*AW120)&gt;0,((Y133-0.1)*AW120),0)</f>
        <v>#DIV/0!</v>
      </c>
      <c r="Z136" s="2631"/>
      <c r="AA136" s="2631"/>
      <c r="AB136" s="2632"/>
      <c r="AC136" s="577"/>
      <c r="AD136" s="2630" t="e">
        <f>IF(((AD133-0.1)*AW121)&gt;0,((AD133-0.1)*AW121),0)</f>
        <v>#DIV/0!</v>
      </c>
      <c r="AE136" s="2631"/>
      <c r="AF136" s="2631"/>
      <c r="AG136" s="263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22">
        <f>ROUNDDOWN(SUMIF(E136:AG136,"&gt;0"),2)</f>
        <v>0.14000000000000001</v>
      </c>
      <c r="F138" s="2423"/>
      <c r="G138" s="2423"/>
      <c r="H138" s="2424"/>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02">
        <f>IF((E138*100)&gt;10,10,E138*100)</f>
        <v>10</v>
      </c>
      <c r="F139" s="2603"/>
      <c r="G139" s="2603"/>
      <c r="H139" s="260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602">
        <f>E139</f>
        <v>10</v>
      </c>
      <c r="AL143" s="2603"/>
      <c r="AM143" s="260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76" t="s">
        <v>1315</v>
      </c>
      <c r="AF146" s="2476"/>
      <c r="AG146" s="2476"/>
      <c r="AH146" s="2476"/>
      <c r="AI146" s="2476"/>
      <c r="AJ146" s="2476"/>
      <c r="AK146" s="2476"/>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6" t="s">
        <v>1339</v>
      </c>
      <c r="AG148" s="2536"/>
      <c r="AH148" s="2536"/>
      <c r="AI148" s="2536"/>
      <c r="AJ148" s="2536"/>
      <c r="AK148" s="2536"/>
      <c r="AL148" s="253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6" t="s">
        <v>2716</v>
      </c>
      <c r="C150" s="2606"/>
      <c r="D150" s="2606"/>
      <c r="E150" s="2606"/>
      <c r="F150" s="2606"/>
      <c r="G150" s="2606"/>
      <c r="H150" s="2606"/>
      <c r="I150" s="2606"/>
      <c r="J150" s="2606"/>
      <c r="K150" s="2606"/>
      <c r="L150" s="2606"/>
      <c r="M150" s="2606"/>
      <c r="N150" s="2606"/>
      <c r="O150" s="2606"/>
      <c r="P150" s="2606"/>
      <c r="Q150" s="2606"/>
      <c r="R150" s="2606"/>
      <c r="S150" s="2606"/>
      <c r="T150" s="2606"/>
      <c r="U150" s="2606"/>
      <c r="V150" s="2606"/>
      <c r="W150" s="2606"/>
      <c r="X150" s="2606"/>
      <c r="Y150" s="2606"/>
      <c r="Z150" s="2606"/>
      <c r="AA150" s="2606"/>
      <c r="AB150" s="2606"/>
      <c r="AC150" s="260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607" t="s">
        <v>1342</v>
      </c>
      <c r="C153" s="2607"/>
      <c r="D153" s="2607"/>
      <c r="E153" s="2607"/>
      <c r="F153" s="2607"/>
      <c r="G153" s="2607"/>
      <c r="H153" s="2607"/>
      <c r="I153" s="2607"/>
      <c r="J153" s="2607"/>
      <c r="K153" s="2607"/>
      <c r="L153" s="2607"/>
      <c r="M153" s="2607"/>
      <c r="N153" s="2607"/>
      <c r="O153" s="2607"/>
      <c r="P153" s="2607"/>
      <c r="Q153" s="2607"/>
      <c r="R153" s="2607"/>
      <c r="S153" s="2607"/>
      <c r="T153" s="2607"/>
      <c r="U153" s="2607"/>
      <c r="V153" s="2607"/>
      <c r="W153" s="2607"/>
      <c r="X153" s="2607"/>
      <c r="Y153" s="2607"/>
      <c r="Z153" s="2607"/>
      <c r="AA153" s="2607"/>
      <c r="AB153" s="2607"/>
      <c r="AC153" s="2607"/>
      <c r="AD153" s="2607"/>
      <c r="AE153" s="2607"/>
      <c r="AF153" s="2607"/>
      <c r="AG153" s="2607"/>
      <c r="AH153" s="2607"/>
      <c r="AI153" s="2607"/>
      <c r="AM153" s="539"/>
      <c r="AN153" s="535"/>
      <c r="AO153" s="476" t="s">
        <v>1342</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08" t="s">
        <v>592</v>
      </c>
      <c r="AC155" s="240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607" t="s">
        <v>1344</v>
      </c>
      <c r="C158" s="2607"/>
      <c r="D158" s="2607"/>
      <c r="E158" s="2607"/>
      <c r="F158" s="2607"/>
      <c r="G158" s="2607"/>
      <c r="H158" s="2607"/>
      <c r="I158" s="2607"/>
      <c r="J158" s="2607"/>
      <c r="K158" s="2607"/>
      <c r="L158" s="2607"/>
      <c r="M158" s="2607"/>
      <c r="N158" s="2607"/>
      <c r="O158" s="2607"/>
      <c r="P158" s="2607"/>
      <c r="Q158" s="2607"/>
      <c r="R158" s="2607"/>
      <c r="S158" s="2607"/>
      <c r="T158" s="2607"/>
      <c r="U158" s="2607"/>
      <c r="V158" s="2607"/>
      <c r="W158" s="2607"/>
      <c r="X158" s="2607"/>
      <c r="Y158" s="2607"/>
      <c r="Z158" s="2607"/>
      <c r="AA158" s="2607"/>
      <c r="AB158" s="2607"/>
      <c r="AC158" s="2607"/>
      <c r="AD158" s="2607"/>
      <c r="AE158" s="2607"/>
      <c r="AF158" s="2607"/>
      <c r="AG158" s="2607"/>
      <c r="AH158" s="2607"/>
      <c r="AI158" s="2607"/>
      <c r="AJ158" s="260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05" t="s">
        <v>2476</v>
      </c>
      <c r="C161" s="2405"/>
      <c r="D161" s="2405"/>
      <c r="E161" s="2405"/>
      <c r="F161" s="2405"/>
      <c r="G161" s="2405"/>
      <c r="H161" s="2405"/>
      <c r="I161" s="2405"/>
      <c r="J161" s="2405"/>
      <c r="K161" s="2405"/>
      <c r="L161" s="2405"/>
      <c r="M161" s="2405"/>
      <c r="N161" s="2405"/>
      <c r="O161" s="2405"/>
      <c r="P161" s="2405"/>
      <c r="Q161" s="2405"/>
      <c r="R161" s="2405"/>
      <c r="S161" s="2405"/>
      <c r="T161" s="2405"/>
      <c r="U161" s="2405"/>
      <c r="V161" s="2405"/>
      <c r="W161" s="2405"/>
      <c r="X161" s="2405"/>
      <c r="Y161" s="2405"/>
      <c r="Z161" s="2405"/>
      <c r="AA161" s="2405"/>
      <c r="AB161" s="2405"/>
      <c r="AC161" s="2405"/>
      <c r="AD161" s="2405"/>
      <c r="AE161" s="2405"/>
      <c r="AF161" s="2405"/>
      <c r="AG161" s="2405"/>
      <c r="AH161" s="2405"/>
      <c r="AI161" s="2405"/>
      <c r="AJ161" s="2405"/>
      <c r="AK161" s="1180"/>
      <c r="AM161" s="539"/>
      <c r="AN161" s="535"/>
      <c r="AO161" s="476"/>
      <c r="AP161" s="489"/>
    </row>
    <row r="162" spans="1:42" s="536" customFormat="1" ht="12.75" customHeight="1">
      <c r="B162" s="2405"/>
      <c r="C162" s="2405"/>
      <c r="D162" s="2405"/>
      <c r="E162" s="2405"/>
      <c r="F162" s="2405"/>
      <c r="G162" s="2405"/>
      <c r="H162" s="2405"/>
      <c r="I162" s="2405"/>
      <c r="J162" s="2405"/>
      <c r="K162" s="2405"/>
      <c r="L162" s="2405"/>
      <c r="M162" s="2405"/>
      <c r="N162" s="2405"/>
      <c r="O162" s="2405"/>
      <c r="P162" s="2405"/>
      <c r="Q162" s="2405"/>
      <c r="R162" s="2405"/>
      <c r="S162" s="2405"/>
      <c r="T162" s="2405"/>
      <c r="U162" s="2405"/>
      <c r="V162" s="2405"/>
      <c r="W162" s="2405"/>
      <c r="X162" s="2405"/>
      <c r="Y162" s="2405"/>
      <c r="Z162" s="2405"/>
      <c r="AA162" s="2405"/>
      <c r="AB162" s="2405"/>
      <c r="AC162" s="2405"/>
      <c r="AD162" s="2405"/>
      <c r="AE162" s="2405"/>
      <c r="AF162" s="2405"/>
      <c r="AG162" s="2405"/>
      <c r="AH162" s="2405"/>
      <c r="AI162" s="2405"/>
      <c r="AJ162" s="2405"/>
      <c r="AK162" s="1180"/>
      <c r="AM162" s="539"/>
      <c r="AN162" s="535"/>
      <c r="AO162" s="476"/>
      <c r="AP162" s="489"/>
    </row>
    <row r="163" spans="1:42" s="536" customFormat="1" ht="12.75" customHeight="1">
      <c r="C163" s="2406" t="s">
        <v>2477</v>
      </c>
      <c r="D163" s="2406"/>
      <c r="E163" s="2406"/>
      <c r="F163" s="2406"/>
      <c r="G163" s="2406"/>
      <c r="H163" s="2406"/>
      <c r="I163" s="2406"/>
      <c r="J163" s="2406"/>
      <c r="K163" s="2406"/>
      <c r="L163" s="2406"/>
      <c r="M163" s="2406"/>
      <c r="N163" s="2406"/>
      <c r="O163" s="2406"/>
      <c r="P163" s="2406"/>
      <c r="Q163" s="2406"/>
      <c r="R163" s="2406"/>
      <c r="S163" s="2406"/>
      <c r="T163" s="2406"/>
      <c r="U163" s="2406"/>
      <c r="V163" s="2406"/>
      <c r="W163" s="2406"/>
      <c r="X163" s="2406"/>
      <c r="Y163" s="2406"/>
      <c r="Z163" s="2406"/>
      <c r="AA163" s="2406"/>
      <c r="AB163" s="2406"/>
      <c r="AC163" s="2406"/>
      <c r="AD163" s="2406"/>
      <c r="AE163" s="2406"/>
      <c r="AF163" s="2406"/>
      <c r="AG163" s="2406"/>
      <c r="AH163" s="2406"/>
      <c r="AI163" s="2406"/>
      <c r="AJ163" s="2406"/>
      <c r="AK163" s="1180"/>
      <c r="AM163" s="539"/>
      <c r="AN163" s="535"/>
      <c r="AO163" s="476"/>
      <c r="AP163" s="489"/>
    </row>
    <row r="164" spans="1:42" s="536" customFormat="1" ht="12.75" customHeight="1">
      <c r="B164" s="1180"/>
      <c r="C164" s="2407" t="s">
        <v>2475</v>
      </c>
      <c r="D164" s="2407"/>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1170"/>
      <c r="AB164" s="1170"/>
      <c r="AC164" s="1170"/>
      <c r="AD164" s="1170"/>
      <c r="AE164" s="1170"/>
      <c r="AF164" s="1170"/>
      <c r="AG164" s="1170"/>
      <c r="AH164" s="1170"/>
      <c r="AJ164" s="2408" t="s">
        <v>592</v>
      </c>
      <c r="AK164" s="240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96">
        <f>IF($AB$155="N/A",VLOOKUP($B$153,$AO$151:$AP$154,2,FALSE),VLOOKUP($B$158,$AO$156:$AP$158,2,FALSE))</f>
        <v>7</v>
      </c>
      <c r="AK166" s="249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6" t="s">
        <v>1353</v>
      </c>
      <c r="AG168" s="2536"/>
      <c r="AH168" s="2536"/>
      <c r="AI168" s="2536"/>
      <c r="AJ168" s="2536"/>
      <c r="AK168" s="2536"/>
      <c r="AL168" s="2536"/>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7" t="s">
        <v>1351</v>
      </c>
      <c r="D170" s="2607"/>
      <c r="E170" s="2607"/>
      <c r="F170" s="2607"/>
      <c r="G170" s="2607"/>
      <c r="H170" s="2607"/>
      <c r="I170" s="2607"/>
      <c r="J170" s="2607"/>
      <c r="K170" s="2607"/>
      <c r="L170" s="2607"/>
      <c r="M170" s="2607"/>
      <c r="N170" s="2607"/>
      <c r="O170" s="2607"/>
      <c r="P170" s="2607"/>
      <c r="Q170" s="2607"/>
      <c r="R170" s="2607"/>
      <c r="S170" s="2607"/>
      <c r="T170" s="2607"/>
      <c r="U170" s="2607"/>
      <c r="V170" s="2607"/>
      <c r="W170" s="2607"/>
      <c r="X170" s="2607"/>
      <c r="Y170" s="2607"/>
      <c r="Z170" s="2607"/>
      <c r="AA170" s="2607"/>
      <c r="AB170" s="2607"/>
      <c r="AC170" s="2607"/>
      <c r="AD170" s="2607"/>
      <c r="AE170" s="2607"/>
      <c r="AF170" s="2607"/>
      <c r="AG170" s="2607"/>
      <c r="AH170" s="2607"/>
      <c r="AI170" s="2607"/>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8" t="s">
        <v>592</v>
      </c>
      <c r="AG172" s="240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607" t="s">
        <v>1344</v>
      </c>
      <c r="D174" s="2607"/>
      <c r="E174" s="2607"/>
      <c r="F174" s="2607"/>
      <c r="G174" s="2607"/>
      <c r="H174" s="2607"/>
      <c r="I174" s="2607"/>
      <c r="J174" s="2607"/>
      <c r="K174" s="2607"/>
      <c r="L174" s="2607"/>
      <c r="M174" s="2607"/>
      <c r="N174" s="2607"/>
      <c r="O174" s="2607"/>
      <c r="P174" s="2607"/>
      <c r="Q174" s="2607"/>
      <c r="R174" s="2607"/>
      <c r="S174" s="2607"/>
      <c r="T174" s="2607"/>
      <c r="U174" s="2607"/>
      <c r="V174" s="2607"/>
      <c r="W174" s="2607"/>
      <c r="X174" s="2607"/>
      <c r="Y174" s="2607"/>
      <c r="Z174" s="2607"/>
      <c r="AA174" s="2607"/>
      <c r="AB174" s="2607"/>
      <c r="AC174" s="2607"/>
      <c r="AD174" s="260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608" t="str">
        <f>Application!AA335</f>
        <v>Danco Property Management</v>
      </c>
      <c r="D178" s="2608"/>
      <c r="E178" s="2608"/>
      <c r="F178" s="2608"/>
      <c r="G178" s="2608"/>
      <c r="H178" s="2608"/>
      <c r="I178" s="2608"/>
      <c r="J178" s="2608"/>
      <c r="K178" s="2608"/>
      <c r="L178" s="2608"/>
      <c r="M178" s="2608"/>
      <c r="N178" s="2608"/>
      <c r="O178" s="2608"/>
      <c r="P178" s="2608"/>
      <c r="Q178" s="2608"/>
      <c r="R178" s="2608"/>
      <c r="S178" s="2608"/>
      <c r="T178" s="2608"/>
      <c r="U178" s="2608"/>
      <c r="V178" s="2608"/>
      <c r="W178" s="2608"/>
      <c r="X178" s="2608"/>
      <c r="Y178" s="2608"/>
      <c r="Z178" s="2608"/>
      <c r="AA178" s="2608"/>
      <c r="AB178" s="2608"/>
      <c r="AC178" s="2608"/>
      <c r="AD178" s="260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95">
        <f>IF($AF$172="N/A",VLOOKUP($C$170,$AO$170:$AP$173,2,FALSE),VLOOKUP($C$174,$AO$177:$AP$179,2,FALSE))</f>
        <v>3</v>
      </c>
      <c r="AK180" s="249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602">
        <f>$AJ$166+$AJ$180</f>
        <v>10</v>
      </c>
      <c r="AL183" s="2603"/>
      <c r="AM183" s="260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6" t="s">
        <v>1315</v>
      </c>
      <c r="AF186" s="2476"/>
      <c r="AG186" s="2476"/>
      <c r="AH186" s="2476"/>
      <c r="AI186" s="2476"/>
      <c r="AJ186" s="2476"/>
      <c r="AK186" s="247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605" t="s">
        <v>1042</v>
      </c>
      <c r="C188" s="2605"/>
      <c r="D188" s="2605"/>
      <c r="E188" s="2605"/>
      <c r="F188" s="2605"/>
      <c r="G188" s="2605"/>
      <c r="H188" s="2605"/>
      <c r="I188" s="2605"/>
      <c r="J188" s="2605"/>
      <c r="K188" s="2605"/>
      <c r="L188" s="2605"/>
      <c r="M188" s="2605"/>
      <c r="N188" s="2605"/>
      <c r="O188" s="2605"/>
      <c r="P188" s="2605"/>
      <c r="Q188" s="2605"/>
      <c r="R188" s="2605"/>
      <c r="S188" s="2605"/>
      <c r="T188" s="2605"/>
      <c r="U188" s="2605"/>
      <c r="V188" s="2605"/>
      <c r="W188" s="2605"/>
      <c r="X188" s="2605"/>
      <c r="Y188" s="2605"/>
      <c r="Z188" s="2605"/>
      <c r="AA188" s="2605"/>
      <c r="AB188" s="2605"/>
      <c r="AC188" s="2605"/>
      <c r="AD188" s="536"/>
      <c r="AE188" s="536"/>
      <c r="AF188" s="2536" t="s">
        <v>1364</v>
      </c>
      <c r="AG188" s="2536"/>
      <c r="AH188" s="2536"/>
      <c r="AI188" s="2536"/>
      <c r="AJ188" s="2536"/>
      <c r="AK188" s="2536"/>
      <c r="AL188" s="2536"/>
      <c r="AN188" s="597"/>
      <c r="AP188" s="550" t="s">
        <v>1044</v>
      </c>
      <c r="AQ188" s="550">
        <v>10</v>
      </c>
    </row>
    <row r="189" spans="1:73" s="550" customFormat="1" ht="12.75" customHeight="1">
      <c r="A189" s="536"/>
      <c r="B189" s="2407" t="s">
        <v>1727</v>
      </c>
      <c r="C189" s="2407"/>
      <c r="D189" s="2407"/>
      <c r="E189" s="2407"/>
      <c r="F189" s="2407"/>
      <c r="G189" s="2407"/>
      <c r="H189" s="2407"/>
      <c r="I189" s="2407"/>
      <c r="J189" s="2407"/>
      <c r="K189" s="2407"/>
      <c r="L189" s="2407"/>
      <c r="M189" s="2407"/>
      <c r="N189" s="2407"/>
      <c r="O189" s="2407"/>
      <c r="P189" s="2407"/>
      <c r="Q189" s="2407"/>
      <c r="R189" s="2407"/>
      <c r="S189" s="2407"/>
      <c r="T189" s="2606" t="s">
        <v>592</v>
      </c>
      <c r="U189" s="2606"/>
      <c r="V189" s="2606"/>
      <c r="W189" s="2606"/>
      <c r="X189" s="2606"/>
      <c r="Y189" s="2606"/>
      <c r="Z189" s="2606"/>
      <c r="AA189" s="2606"/>
      <c r="AB189" s="2606"/>
      <c r="AC189" s="260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43">
        <f>IF(AK84&gt;0,VLOOKUP($B$188,AP185:AQ191,2,FALSE),0)</f>
        <v>10</v>
      </c>
      <c r="AL191" s="2444"/>
      <c r="AM191" s="244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6" t="s">
        <v>1373</v>
      </c>
      <c r="AF194" s="2476"/>
      <c r="AG194" s="2476"/>
      <c r="AH194" s="2476"/>
      <c r="AI194" s="2476"/>
      <c r="AJ194" s="2476"/>
      <c r="AK194" s="247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9" t="s">
        <v>2717</v>
      </c>
      <c r="C199" s="2599"/>
      <c r="D199" s="2599"/>
      <c r="E199" s="2599"/>
      <c r="F199" s="2599"/>
      <c r="G199" s="2599"/>
      <c r="H199" s="2599"/>
      <c r="I199" s="2599"/>
      <c r="J199" s="2599"/>
      <c r="K199" s="2599"/>
      <c r="L199" s="2599"/>
      <c r="M199" s="2599"/>
      <c r="N199" s="2599"/>
      <c r="O199" s="2599"/>
      <c r="P199" s="2599"/>
      <c r="Q199" s="2599"/>
      <c r="R199" s="2599"/>
      <c r="S199" s="2599"/>
      <c r="T199" s="2599"/>
      <c r="U199" s="2599"/>
      <c r="V199" s="2599"/>
      <c r="W199" s="2599"/>
      <c r="X199" s="2599"/>
      <c r="Y199" s="2599"/>
      <c r="Z199" s="2599"/>
      <c r="AA199" s="2599"/>
      <c r="AB199" s="2599"/>
      <c r="AC199" s="846"/>
      <c r="AD199" s="2589">
        <f>+[1]Application!AO630</f>
        <v>12331000</v>
      </c>
      <c r="AE199" s="2589"/>
      <c r="AF199" s="2589"/>
      <c r="AG199" s="2589"/>
      <c r="AH199" s="2589"/>
      <c r="AI199" s="2589"/>
      <c r="AJ199" s="2589"/>
      <c r="AK199" s="610"/>
    </row>
    <row r="200" spans="1:40">
      <c r="A200" s="605"/>
      <c r="B200" s="2599" t="s">
        <v>2615</v>
      </c>
      <c r="C200" s="2599"/>
      <c r="D200" s="2599"/>
      <c r="E200" s="2599"/>
      <c r="F200" s="2599"/>
      <c r="G200" s="2599"/>
      <c r="H200" s="2599"/>
      <c r="I200" s="2599"/>
      <c r="J200" s="2599"/>
      <c r="K200" s="2599"/>
      <c r="L200" s="2599"/>
      <c r="M200" s="2599"/>
      <c r="N200" s="2599"/>
      <c r="O200" s="2599"/>
      <c r="P200" s="2599"/>
      <c r="Q200" s="2599"/>
      <c r="R200" s="2599"/>
      <c r="S200" s="2599"/>
      <c r="T200" s="2599"/>
      <c r="U200" s="2599"/>
      <c r="V200" s="2599"/>
      <c r="W200" s="2599"/>
      <c r="X200" s="2599"/>
      <c r="Y200" s="2599"/>
      <c r="Z200" s="2599"/>
      <c r="AA200" s="2599"/>
      <c r="AB200" s="2599"/>
      <c r="AC200" s="846"/>
      <c r="AD200" s="2589">
        <f>+[1]Application!AO632</f>
        <v>2000000</v>
      </c>
      <c r="AE200" s="2589"/>
      <c r="AF200" s="2589"/>
      <c r="AG200" s="2589"/>
      <c r="AH200" s="2589"/>
      <c r="AI200" s="2589"/>
      <c r="AJ200" s="2589"/>
      <c r="AK200" s="610"/>
    </row>
    <row r="201" spans="1:40">
      <c r="A201" s="605"/>
      <c r="B201" s="2599" t="s">
        <v>2718</v>
      </c>
      <c r="C201" s="2599"/>
      <c r="D201" s="2599"/>
      <c r="E201" s="2599"/>
      <c r="F201" s="2599"/>
      <c r="G201" s="2599"/>
      <c r="H201" s="2599"/>
      <c r="I201" s="2599"/>
      <c r="J201" s="2599"/>
      <c r="K201" s="2599"/>
      <c r="L201" s="2599"/>
      <c r="M201" s="2599"/>
      <c r="N201" s="2599"/>
      <c r="O201" s="2599"/>
      <c r="P201" s="2599"/>
      <c r="Q201" s="2599"/>
      <c r="R201" s="2599"/>
      <c r="S201" s="2599"/>
      <c r="T201" s="2599"/>
      <c r="U201" s="2599"/>
      <c r="V201" s="2599"/>
      <c r="W201" s="2599"/>
      <c r="X201" s="2599"/>
      <c r="Y201" s="2599"/>
      <c r="Z201" s="2599"/>
      <c r="AA201" s="2599"/>
      <c r="AB201" s="2599"/>
      <c r="AC201" s="846"/>
      <c r="AD201" s="2589">
        <f>+[1]Application!AO631</f>
        <v>1000000</v>
      </c>
      <c r="AE201" s="2589"/>
      <c r="AF201" s="2589"/>
      <c r="AG201" s="2589"/>
      <c r="AH201" s="2589"/>
      <c r="AI201" s="2589"/>
      <c r="AJ201" s="2589"/>
      <c r="AK201" s="610"/>
    </row>
    <row r="202" spans="1:40">
      <c r="A202" s="605"/>
      <c r="B202" s="2599"/>
      <c r="C202" s="2599"/>
      <c r="D202" s="2599"/>
      <c r="E202" s="2599"/>
      <c r="F202" s="2599"/>
      <c r="G202" s="2599"/>
      <c r="H202" s="2599"/>
      <c r="I202" s="2599"/>
      <c r="J202" s="2599"/>
      <c r="K202" s="2599"/>
      <c r="L202" s="2599"/>
      <c r="M202" s="2599"/>
      <c r="N202" s="2599"/>
      <c r="O202" s="2599"/>
      <c r="P202" s="2599"/>
      <c r="Q202" s="2599"/>
      <c r="R202" s="2599"/>
      <c r="S202" s="2599"/>
      <c r="T202" s="2599"/>
      <c r="U202" s="2599"/>
      <c r="V202" s="2599"/>
      <c r="W202" s="2599"/>
      <c r="X202" s="2599"/>
      <c r="Y202" s="2599"/>
      <c r="Z202" s="2599"/>
      <c r="AA202" s="2599"/>
      <c r="AB202" s="2599"/>
      <c r="AC202" s="846"/>
      <c r="AD202" s="2589"/>
      <c r="AE202" s="2589"/>
      <c r="AF202" s="2589"/>
      <c r="AG202" s="2589"/>
      <c r="AH202" s="2589"/>
      <c r="AI202" s="2589"/>
      <c r="AJ202" s="2589"/>
      <c r="AK202" s="610"/>
    </row>
    <row r="203" spans="1:40">
      <c r="A203" s="605"/>
      <c r="B203" s="2599"/>
      <c r="C203" s="2599"/>
      <c r="D203" s="2599"/>
      <c r="E203" s="2599"/>
      <c r="F203" s="2599"/>
      <c r="G203" s="2599"/>
      <c r="H203" s="2599"/>
      <c r="I203" s="2599"/>
      <c r="J203" s="2599"/>
      <c r="K203" s="2599"/>
      <c r="L203" s="2599"/>
      <c r="M203" s="2599"/>
      <c r="N203" s="2599"/>
      <c r="O203" s="2599"/>
      <c r="P203" s="2599"/>
      <c r="Q203" s="2599"/>
      <c r="R203" s="2599"/>
      <c r="S203" s="2599"/>
      <c r="T203" s="2599"/>
      <c r="U203" s="2599"/>
      <c r="V203" s="2599"/>
      <c r="W203" s="2599"/>
      <c r="X203" s="2599"/>
      <c r="Y203" s="2599"/>
      <c r="Z203" s="2599"/>
      <c r="AA203" s="2599"/>
      <c r="AB203" s="2599"/>
      <c r="AC203" s="846"/>
      <c r="AD203" s="2589"/>
      <c r="AE203" s="2589"/>
      <c r="AF203" s="2589"/>
      <c r="AG203" s="2589"/>
      <c r="AH203" s="2589"/>
      <c r="AI203" s="2589"/>
      <c r="AJ203" s="2589"/>
      <c r="AK203" s="610"/>
    </row>
    <row r="204" spans="1:40">
      <c r="A204" s="605"/>
      <c r="B204" s="2599"/>
      <c r="C204" s="2599"/>
      <c r="D204" s="2599"/>
      <c r="E204" s="2599"/>
      <c r="F204" s="2599"/>
      <c r="G204" s="2599"/>
      <c r="H204" s="2599"/>
      <c r="I204" s="2599"/>
      <c r="J204" s="2599"/>
      <c r="K204" s="2599"/>
      <c r="L204" s="2599"/>
      <c r="M204" s="2599"/>
      <c r="N204" s="2599"/>
      <c r="O204" s="2599"/>
      <c r="P204" s="2599"/>
      <c r="Q204" s="2599"/>
      <c r="R204" s="2599"/>
      <c r="S204" s="2599"/>
      <c r="T204" s="2599"/>
      <c r="U204" s="2599"/>
      <c r="V204" s="2599"/>
      <c r="W204" s="2599"/>
      <c r="X204" s="2599"/>
      <c r="Y204" s="2599"/>
      <c r="Z204" s="2599"/>
      <c r="AA204" s="2599"/>
      <c r="AB204" s="2599"/>
      <c r="AC204" s="846"/>
      <c r="AD204" s="2589"/>
      <c r="AE204" s="2589"/>
      <c r="AF204" s="2589"/>
      <c r="AG204" s="2589"/>
      <c r="AH204" s="2589"/>
      <c r="AI204" s="2589"/>
      <c r="AJ204" s="2589"/>
      <c r="AK204" s="610"/>
    </row>
    <row r="205" spans="1:40">
      <c r="A205" s="605"/>
      <c r="B205" s="2599"/>
      <c r="C205" s="2599"/>
      <c r="D205" s="2599"/>
      <c r="E205" s="2599"/>
      <c r="F205" s="2599"/>
      <c r="G205" s="2599"/>
      <c r="H205" s="2599"/>
      <c r="I205" s="2599"/>
      <c r="J205" s="2599"/>
      <c r="K205" s="2599"/>
      <c r="L205" s="2599"/>
      <c r="M205" s="2599"/>
      <c r="N205" s="2599"/>
      <c r="O205" s="2599"/>
      <c r="P205" s="2599"/>
      <c r="Q205" s="2599"/>
      <c r="R205" s="2599"/>
      <c r="S205" s="2599"/>
      <c r="T205" s="2599"/>
      <c r="U205" s="2599"/>
      <c r="V205" s="2599"/>
      <c r="W205" s="2599"/>
      <c r="X205" s="2599"/>
      <c r="Y205" s="2599"/>
      <c r="Z205" s="2599"/>
      <c r="AA205" s="2599"/>
      <c r="AB205" s="2599"/>
      <c r="AC205" s="846"/>
      <c r="AD205" s="2589"/>
      <c r="AE205" s="2589"/>
      <c r="AF205" s="2589"/>
      <c r="AG205" s="2589"/>
      <c r="AH205" s="2589"/>
      <c r="AI205" s="2589"/>
      <c r="AJ205" s="2589"/>
      <c r="AK205" s="610"/>
    </row>
    <row r="206" spans="1:40">
      <c r="A206" s="605"/>
      <c r="B206" s="2599"/>
      <c r="C206" s="2599"/>
      <c r="D206" s="2599"/>
      <c r="E206" s="2599"/>
      <c r="F206" s="2599"/>
      <c r="G206" s="2599"/>
      <c r="H206" s="2599"/>
      <c r="I206" s="2599"/>
      <c r="J206" s="2599"/>
      <c r="K206" s="2599"/>
      <c r="L206" s="2599"/>
      <c r="M206" s="2599"/>
      <c r="N206" s="2599"/>
      <c r="O206" s="2599"/>
      <c r="P206" s="2599"/>
      <c r="Q206" s="2599"/>
      <c r="R206" s="2599"/>
      <c r="S206" s="2599"/>
      <c r="T206" s="2599"/>
      <c r="U206" s="2599"/>
      <c r="V206" s="2599"/>
      <c r="W206" s="2599"/>
      <c r="X206" s="2599"/>
      <c r="Y206" s="2599"/>
      <c r="Z206" s="2599"/>
      <c r="AA206" s="2599"/>
      <c r="AB206" s="2599"/>
      <c r="AC206" s="846"/>
      <c r="AD206" s="2589"/>
      <c r="AE206" s="2589"/>
      <c r="AF206" s="2589"/>
      <c r="AG206" s="2589"/>
      <c r="AH206" s="2589"/>
      <c r="AI206" s="2589"/>
      <c r="AJ206" s="2589"/>
      <c r="AK206" s="610"/>
    </row>
    <row r="207" spans="1:40">
      <c r="A207" s="605"/>
      <c r="B207" s="2599"/>
      <c r="C207" s="2599"/>
      <c r="D207" s="2599"/>
      <c r="E207" s="2599"/>
      <c r="F207" s="2599"/>
      <c r="G207" s="2599"/>
      <c r="H207" s="2599"/>
      <c r="I207" s="2599"/>
      <c r="J207" s="2599"/>
      <c r="K207" s="2599"/>
      <c r="L207" s="2599"/>
      <c r="M207" s="2599"/>
      <c r="N207" s="2599"/>
      <c r="O207" s="2599"/>
      <c r="P207" s="2599"/>
      <c r="Q207" s="2599"/>
      <c r="R207" s="2599"/>
      <c r="S207" s="2599"/>
      <c r="T207" s="2599"/>
      <c r="U207" s="2599"/>
      <c r="V207" s="2599"/>
      <c r="W207" s="2599"/>
      <c r="X207" s="2599"/>
      <c r="Y207" s="2599"/>
      <c r="Z207" s="2599"/>
      <c r="AA207" s="2599"/>
      <c r="AB207" s="2599"/>
      <c r="AC207" s="846"/>
      <c r="AD207" s="2589"/>
      <c r="AE207" s="2589"/>
      <c r="AF207" s="2589"/>
      <c r="AG207" s="2589"/>
      <c r="AH207" s="2589"/>
      <c r="AI207" s="2589"/>
      <c r="AJ207" s="2589"/>
      <c r="AK207" s="610"/>
    </row>
    <row r="208" spans="1:40">
      <c r="A208" s="605"/>
      <c r="B208" s="2599"/>
      <c r="C208" s="2599"/>
      <c r="D208" s="2599"/>
      <c r="E208" s="2599"/>
      <c r="F208" s="2599"/>
      <c r="G208" s="2599"/>
      <c r="H208" s="2599"/>
      <c r="I208" s="2599"/>
      <c r="J208" s="2599"/>
      <c r="K208" s="2599"/>
      <c r="L208" s="2599"/>
      <c r="M208" s="2599"/>
      <c r="N208" s="2599"/>
      <c r="O208" s="2599"/>
      <c r="P208" s="2599"/>
      <c r="Q208" s="2599"/>
      <c r="R208" s="2599"/>
      <c r="S208" s="2599"/>
      <c r="T208" s="2599"/>
      <c r="U208" s="2599"/>
      <c r="V208" s="2599"/>
      <c r="W208" s="2599"/>
      <c r="X208" s="2599"/>
      <c r="Y208" s="2599"/>
      <c r="Z208" s="2599"/>
      <c r="AA208" s="2599"/>
      <c r="AB208" s="2599"/>
      <c r="AC208" s="846"/>
      <c r="AD208" s="2589"/>
      <c r="AE208" s="2589"/>
      <c r="AF208" s="2589"/>
      <c r="AG208" s="2589"/>
      <c r="AH208" s="2589"/>
      <c r="AI208" s="2589"/>
      <c r="AJ208" s="2589"/>
      <c r="AK208" s="610"/>
    </row>
    <row r="209" spans="1:37">
      <c r="A209" s="605"/>
      <c r="B209" s="2614" t="s">
        <v>1628</v>
      </c>
      <c r="C209" s="2614"/>
      <c r="D209" s="2614"/>
      <c r="E209" s="2614"/>
      <c r="F209" s="2614"/>
      <c r="G209" s="2614"/>
      <c r="H209" s="2614"/>
      <c r="I209" s="2614"/>
      <c r="J209" s="2614"/>
      <c r="K209" s="2614"/>
      <c r="L209" s="2614"/>
      <c r="M209" s="2614"/>
      <c r="N209" s="2614"/>
      <c r="O209" s="2614"/>
      <c r="P209" s="2614"/>
      <c r="Q209" s="2614"/>
      <c r="R209" s="2614"/>
      <c r="S209" s="2614"/>
      <c r="T209" s="2614"/>
      <c r="U209" s="2614"/>
      <c r="V209" s="2614"/>
      <c r="W209" s="2614"/>
      <c r="X209" s="2614"/>
      <c r="Y209" s="2614"/>
      <c r="Z209" s="2614"/>
      <c r="AA209" s="2614"/>
      <c r="AB209" s="2614"/>
      <c r="AC209" s="536"/>
      <c r="AD209" s="2587">
        <f>AB260</f>
        <v>0</v>
      </c>
      <c r="AE209" s="2587"/>
      <c r="AF209" s="2587"/>
      <c r="AG209" s="2587"/>
      <c r="AH209" s="2587"/>
      <c r="AI209" s="2587"/>
      <c r="AJ209" s="2587"/>
      <c r="AK209" s="610"/>
    </row>
    <row r="210" spans="1:37">
      <c r="A210" s="605"/>
      <c r="B210" s="2461" t="s">
        <v>1591</v>
      </c>
      <c r="C210" s="2461"/>
      <c r="D210" s="2461"/>
      <c r="E210" s="2461"/>
      <c r="F210" s="2461"/>
      <c r="G210" s="2461"/>
      <c r="H210" s="2461"/>
      <c r="I210" s="2461"/>
      <c r="J210" s="2461"/>
      <c r="K210" s="2461"/>
      <c r="L210" s="2461"/>
      <c r="M210" s="2461"/>
      <c r="N210" s="2461"/>
      <c r="O210" s="2461"/>
      <c r="P210" s="2461"/>
      <c r="Q210" s="2461"/>
      <c r="R210" s="2461"/>
      <c r="S210" s="2461"/>
      <c r="T210" s="2461"/>
      <c r="U210" s="2461"/>
      <c r="V210" s="2461"/>
      <c r="W210" s="2461"/>
      <c r="X210" s="2461"/>
      <c r="Y210" s="2461"/>
      <c r="Z210" s="2461"/>
      <c r="AA210" s="2461"/>
      <c r="AB210" s="2461"/>
      <c r="AC210" s="846"/>
      <c r="AD210" s="2588">
        <f>'Sources and Uses Budget'!B15</f>
        <v>0</v>
      </c>
      <c r="AE210" s="2588"/>
      <c r="AF210" s="2588"/>
      <c r="AG210" s="2588"/>
      <c r="AH210" s="2588"/>
      <c r="AI210" s="2588"/>
      <c r="AJ210" s="25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93">
        <f>SUM(AD199:AJ209)-AD210</f>
        <v>15331000</v>
      </c>
      <c r="AE211" s="2593"/>
      <c r="AF211" s="2593"/>
      <c r="AG211" s="2593"/>
      <c r="AH211" s="2593"/>
      <c r="AI211" s="2593"/>
      <c r="AJ211" s="259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12" t="s">
        <v>1608</v>
      </c>
      <c r="J222" s="2612"/>
      <c r="K222" s="2612"/>
      <c r="L222" s="536"/>
      <c r="M222" s="536"/>
      <c r="N222" s="536"/>
      <c r="O222" s="536"/>
      <c r="P222" s="536"/>
      <c r="Q222" s="536"/>
      <c r="R222" s="536"/>
      <c r="S222" s="536"/>
      <c r="T222" s="2427" t="s">
        <v>1602</v>
      </c>
      <c r="U222" s="2427"/>
      <c r="V222" s="2427"/>
      <c r="W222" s="2427"/>
      <c r="X222" s="2427"/>
      <c r="Y222" s="2427"/>
      <c r="Z222" s="849"/>
      <c r="AA222" s="489"/>
      <c r="AB222" s="2609" t="s">
        <v>1603</v>
      </c>
      <c r="AC222" s="2609"/>
      <c r="AD222" s="2609"/>
      <c r="AE222" s="2609"/>
      <c r="AF222" s="2609"/>
      <c r="AG222" s="2609"/>
      <c r="AH222" s="827"/>
      <c r="AI222" s="827"/>
      <c r="AJ222" s="827"/>
      <c r="AK222" s="610"/>
    </row>
    <row r="223" spans="1:37">
      <c r="A223" s="605"/>
      <c r="B223" s="2610" t="s">
        <v>1588</v>
      </c>
      <c r="C223" s="2610"/>
      <c r="D223" s="2610"/>
      <c r="E223" s="2610"/>
      <c r="F223" s="2610"/>
      <c r="G223" s="2610"/>
      <c r="I223" s="2611" t="s">
        <v>1609</v>
      </c>
      <c r="J223" s="2611"/>
      <c r="K223" s="2611"/>
      <c r="L223" s="1008"/>
      <c r="N223" s="2462" t="s">
        <v>1604</v>
      </c>
      <c r="O223" s="2462"/>
      <c r="P223" s="2462"/>
      <c r="Q223" s="2462"/>
      <c r="R223" s="2462"/>
      <c r="T223" s="2462" t="s">
        <v>1605</v>
      </c>
      <c r="U223" s="2462"/>
      <c r="V223" s="2462"/>
      <c r="W223" s="2462"/>
      <c r="X223" s="2462"/>
      <c r="Y223" s="2462"/>
      <c r="Z223" s="850"/>
      <c r="AA223" s="489"/>
      <c r="AB223" s="2477" t="s">
        <v>1606</v>
      </c>
      <c r="AC223" s="2477"/>
      <c r="AD223" s="2477"/>
      <c r="AE223" s="2477"/>
      <c r="AF223" s="2477"/>
      <c r="AG223" s="2477"/>
      <c r="AH223" s="827"/>
      <c r="AI223" s="827"/>
      <c r="AJ223" s="827"/>
      <c r="AK223" s="610"/>
    </row>
    <row r="224" spans="1:37">
      <c r="A224" s="605"/>
      <c r="B224" s="2478" t="s">
        <v>1185</v>
      </c>
      <c r="C224" s="2478"/>
      <c r="D224" s="2478"/>
      <c r="E224" s="2478"/>
      <c r="F224" s="2478"/>
      <c r="G224" s="2478"/>
      <c r="H224" s="852"/>
      <c r="I224" s="2431"/>
      <c r="J224" s="2431"/>
      <c r="K224" s="2431"/>
      <c r="L224" s="1008"/>
      <c r="N224" s="2429"/>
      <c r="O224" s="2429"/>
      <c r="P224" s="2429"/>
      <c r="Q224" s="2429"/>
      <c r="R224" s="2429"/>
      <c r="T224" s="2428"/>
      <c r="U224" s="2428"/>
      <c r="V224" s="2428"/>
      <c r="W224" s="2428"/>
      <c r="X224" s="2428"/>
      <c r="Y224" s="2428"/>
      <c r="Z224" s="851"/>
      <c r="AA224" s="851"/>
      <c r="AB224" s="2426">
        <f t="shared" ref="AB224:AB233" si="0">MAX(($T224-$N224)*$I224*12,0)</f>
        <v>0</v>
      </c>
      <c r="AC224" s="2426"/>
      <c r="AD224" s="2426"/>
      <c r="AE224" s="2426"/>
      <c r="AF224" s="2426"/>
      <c r="AG224" s="2426"/>
      <c r="AH224" s="827"/>
      <c r="AI224" s="827"/>
      <c r="AJ224" s="827"/>
      <c r="AK224" s="610"/>
    </row>
    <row r="225" spans="1:37">
      <c r="A225" s="605"/>
      <c r="B225" s="2478" t="s">
        <v>1185</v>
      </c>
      <c r="C225" s="2478"/>
      <c r="D225" s="2478"/>
      <c r="E225" s="2478"/>
      <c r="F225" s="2478"/>
      <c r="G225" s="2478"/>
      <c r="I225" s="2431"/>
      <c r="J225" s="2431"/>
      <c r="K225" s="2431"/>
      <c r="L225" s="1008"/>
      <c r="N225" s="2429"/>
      <c r="O225" s="2429"/>
      <c r="P225" s="2429"/>
      <c r="Q225" s="2429"/>
      <c r="R225" s="2429"/>
      <c r="T225" s="2428"/>
      <c r="U225" s="2428"/>
      <c r="V225" s="2428"/>
      <c r="W225" s="2428"/>
      <c r="X225" s="2428"/>
      <c r="Y225" s="2428"/>
      <c r="Z225" s="851"/>
      <c r="AA225" s="851"/>
      <c r="AB225" s="2426">
        <f t="shared" si="0"/>
        <v>0</v>
      </c>
      <c r="AC225" s="2426"/>
      <c r="AD225" s="2426"/>
      <c r="AE225" s="2426"/>
      <c r="AF225" s="2426"/>
      <c r="AG225" s="2426"/>
      <c r="AH225" s="827"/>
      <c r="AI225" s="827"/>
      <c r="AJ225" s="827"/>
      <c r="AK225" s="610"/>
    </row>
    <row r="226" spans="1:37">
      <c r="A226" s="605"/>
      <c r="B226" s="2478" t="s">
        <v>1185</v>
      </c>
      <c r="C226" s="2478"/>
      <c r="D226" s="2478"/>
      <c r="E226" s="2478"/>
      <c r="F226" s="2478"/>
      <c r="G226" s="2478"/>
      <c r="I226" s="2431"/>
      <c r="J226" s="2431"/>
      <c r="K226" s="2431"/>
      <c r="L226" s="1008"/>
      <c r="N226" s="2429"/>
      <c r="O226" s="2429"/>
      <c r="P226" s="2429"/>
      <c r="Q226" s="2429"/>
      <c r="R226" s="2429"/>
      <c r="T226" s="2428"/>
      <c r="U226" s="2428"/>
      <c r="V226" s="2428"/>
      <c r="W226" s="2428"/>
      <c r="X226" s="2428"/>
      <c r="Y226" s="2428"/>
      <c r="Z226" s="851"/>
      <c r="AA226" s="851"/>
      <c r="AB226" s="2426">
        <f t="shared" si="0"/>
        <v>0</v>
      </c>
      <c r="AC226" s="2426"/>
      <c r="AD226" s="2426"/>
      <c r="AE226" s="2426"/>
      <c r="AF226" s="2426"/>
      <c r="AG226" s="2426"/>
      <c r="AH226" s="827"/>
      <c r="AI226" s="827"/>
      <c r="AJ226" s="827"/>
      <c r="AK226" s="610"/>
    </row>
    <row r="227" spans="1:37">
      <c r="A227" s="605"/>
      <c r="B227" s="2478" t="s">
        <v>1185</v>
      </c>
      <c r="C227" s="2478"/>
      <c r="D227" s="2478"/>
      <c r="E227" s="2478"/>
      <c r="F227" s="2478"/>
      <c r="G227" s="2478"/>
      <c r="I227" s="2431"/>
      <c r="J227" s="2431"/>
      <c r="K227" s="2431"/>
      <c r="L227" s="1008"/>
      <c r="N227" s="2429"/>
      <c r="O227" s="2429"/>
      <c r="P227" s="2429"/>
      <c r="Q227" s="2429"/>
      <c r="R227" s="2429"/>
      <c r="T227" s="2428"/>
      <c r="U227" s="2428"/>
      <c r="V227" s="2428"/>
      <c r="W227" s="2428"/>
      <c r="X227" s="2428"/>
      <c r="Y227" s="2428"/>
      <c r="Z227" s="851"/>
      <c r="AA227" s="851"/>
      <c r="AB227" s="2426">
        <f t="shared" si="0"/>
        <v>0</v>
      </c>
      <c r="AC227" s="2426"/>
      <c r="AD227" s="2426"/>
      <c r="AE227" s="2426"/>
      <c r="AF227" s="2426"/>
      <c r="AG227" s="2426"/>
      <c r="AH227" s="827"/>
      <c r="AI227" s="827"/>
      <c r="AJ227" s="827"/>
      <c r="AK227" s="610"/>
    </row>
    <row r="228" spans="1:37">
      <c r="A228" s="605"/>
      <c r="B228" s="2478" t="s">
        <v>1185</v>
      </c>
      <c r="C228" s="2478"/>
      <c r="D228" s="2478"/>
      <c r="E228" s="2478"/>
      <c r="F228" s="2478"/>
      <c r="G228" s="2478"/>
      <c r="I228" s="2431"/>
      <c r="J228" s="2431"/>
      <c r="K228" s="2431"/>
      <c r="L228" s="1015"/>
      <c r="N228" s="2429"/>
      <c r="O228" s="2429"/>
      <c r="P228" s="2429"/>
      <c r="Q228" s="2429"/>
      <c r="R228" s="2429"/>
      <c r="T228" s="2428"/>
      <c r="U228" s="2428"/>
      <c r="V228" s="2428"/>
      <c r="W228" s="2428"/>
      <c r="X228" s="2428"/>
      <c r="Y228" s="2428"/>
      <c r="Z228" s="851"/>
      <c r="AA228" s="851"/>
      <c r="AB228" s="2426">
        <f t="shared" si="0"/>
        <v>0</v>
      </c>
      <c r="AC228" s="2426"/>
      <c r="AD228" s="2426"/>
      <c r="AE228" s="2426"/>
      <c r="AF228" s="2426"/>
      <c r="AG228" s="2426"/>
      <c r="AH228" s="827"/>
      <c r="AI228" s="827"/>
      <c r="AJ228" s="827"/>
      <c r="AK228" s="610"/>
    </row>
    <row r="229" spans="1:37">
      <c r="A229" s="605"/>
      <c r="B229" s="2478" t="s">
        <v>1185</v>
      </c>
      <c r="C229" s="2478"/>
      <c r="D229" s="2478"/>
      <c r="E229" s="2478"/>
      <c r="F229" s="2478"/>
      <c r="G229" s="2478"/>
      <c r="I229" s="2431"/>
      <c r="J229" s="2431"/>
      <c r="K229" s="2431"/>
      <c r="L229" s="1015"/>
      <c r="N229" s="2429"/>
      <c r="O229" s="2429"/>
      <c r="P229" s="2429"/>
      <c r="Q229" s="2429"/>
      <c r="R229" s="2429"/>
      <c r="T229" s="2428"/>
      <c r="U229" s="2428"/>
      <c r="V229" s="2428"/>
      <c r="W229" s="2428"/>
      <c r="X229" s="2428"/>
      <c r="Y229" s="2428"/>
      <c r="Z229" s="851"/>
      <c r="AA229" s="851"/>
      <c r="AB229" s="2426">
        <f t="shared" si="0"/>
        <v>0</v>
      </c>
      <c r="AC229" s="2426"/>
      <c r="AD229" s="2426"/>
      <c r="AE229" s="2426"/>
      <c r="AF229" s="2426"/>
      <c r="AG229" s="2426"/>
      <c r="AH229" s="827"/>
      <c r="AI229" s="827"/>
      <c r="AJ229" s="827"/>
      <c r="AK229" s="610"/>
    </row>
    <row r="230" spans="1:37">
      <c r="A230" s="605"/>
      <c r="B230" s="2478" t="s">
        <v>1185</v>
      </c>
      <c r="C230" s="2478"/>
      <c r="D230" s="2478"/>
      <c r="E230" s="2478"/>
      <c r="F230" s="2478"/>
      <c r="G230" s="2478"/>
      <c r="I230" s="2431"/>
      <c r="J230" s="2431"/>
      <c r="K230" s="2431"/>
      <c r="L230" s="1015"/>
      <c r="N230" s="2429"/>
      <c r="O230" s="2429"/>
      <c r="P230" s="2429"/>
      <c r="Q230" s="2429"/>
      <c r="R230" s="2429"/>
      <c r="T230" s="2428"/>
      <c r="U230" s="2428"/>
      <c r="V230" s="2428"/>
      <c r="W230" s="2428"/>
      <c r="X230" s="2428"/>
      <c r="Y230" s="2428"/>
      <c r="Z230" s="851"/>
      <c r="AA230" s="851"/>
      <c r="AB230" s="2426">
        <f t="shared" si="0"/>
        <v>0</v>
      </c>
      <c r="AC230" s="2426"/>
      <c r="AD230" s="2426"/>
      <c r="AE230" s="2426"/>
      <c r="AF230" s="2426"/>
      <c r="AG230" s="2426"/>
      <c r="AH230" s="827"/>
      <c r="AI230" s="827"/>
      <c r="AJ230" s="827"/>
      <c r="AK230" s="610"/>
    </row>
    <row r="231" spans="1:37">
      <c r="A231" s="605"/>
      <c r="B231" s="2478" t="s">
        <v>1185</v>
      </c>
      <c r="C231" s="2478"/>
      <c r="D231" s="2478"/>
      <c r="E231" s="2478"/>
      <c r="F231" s="2478"/>
      <c r="G231" s="2478"/>
      <c r="I231" s="2431"/>
      <c r="J231" s="2431"/>
      <c r="K231" s="2431"/>
      <c r="L231" s="1015"/>
      <c r="N231" s="2429"/>
      <c r="O231" s="2429"/>
      <c r="P231" s="2429"/>
      <c r="Q231" s="2429"/>
      <c r="R231" s="2429"/>
      <c r="T231" s="2428"/>
      <c r="U231" s="2428"/>
      <c r="V231" s="2428"/>
      <c r="W231" s="2428"/>
      <c r="X231" s="2428"/>
      <c r="Y231" s="2428"/>
      <c r="Z231" s="851"/>
      <c r="AA231" s="851"/>
      <c r="AB231" s="2426">
        <f t="shared" si="0"/>
        <v>0</v>
      </c>
      <c r="AC231" s="2426"/>
      <c r="AD231" s="2426"/>
      <c r="AE231" s="2426"/>
      <c r="AF231" s="2426"/>
      <c r="AG231" s="2426"/>
      <c r="AH231" s="827"/>
      <c r="AI231" s="827"/>
      <c r="AJ231" s="827"/>
      <c r="AK231" s="610"/>
    </row>
    <row r="232" spans="1:37">
      <c r="A232" s="605"/>
      <c r="B232" s="2478" t="s">
        <v>1185</v>
      </c>
      <c r="C232" s="2478"/>
      <c r="D232" s="2478"/>
      <c r="E232" s="2478"/>
      <c r="F232" s="2478"/>
      <c r="G232" s="2478"/>
      <c r="I232" s="2431"/>
      <c r="J232" s="2431"/>
      <c r="K232" s="2431"/>
      <c r="L232" s="1015"/>
      <c r="N232" s="2429"/>
      <c r="O232" s="2429"/>
      <c r="P232" s="2429"/>
      <c r="Q232" s="2429"/>
      <c r="R232" s="2429"/>
      <c r="T232" s="2428"/>
      <c r="U232" s="2428"/>
      <c r="V232" s="2428"/>
      <c r="W232" s="2428"/>
      <c r="X232" s="2428"/>
      <c r="Y232" s="2428"/>
      <c r="Z232" s="851"/>
      <c r="AA232" s="851"/>
      <c r="AB232" s="2426">
        <f t="shared" si="0"/>
        <v>0</v>
      </c>
      <c r="AC232" s="2426"/>
      <c r="AD232" s="2426"/>
      <c r="AE232" s="2426"/>
      <c r="AF232" s="2426"/>
      <c r="AG232" s="2426"/>
      <c r="AH232" s="827"/>
      <c r="AI232" s="827"/>
      <c r="AJ232" s="827"/>
      <c r="AK232" s="610"/>
    </row>
    <row r="233" spans="1:37">
      <c r="A233" s="605"/>
      <c r="B233" s="2478" t="s">
        <v>1185</v>
      </c>
      <c r="C233" s="2478"/>
      <c r="D233" s="2478"/>
      <c r="E233" s="2478"/>
      <c r="F233" s="2478"/>
      <c r="G233" s="2478"/>
      <c r="I233" s="2613"/>
      <c r="J233" s="2613"/>
      <c r="K233" s="2613"/>
      <c r="L233" s="1015"/>
      <c r="N233" s="2429"/>
      <c r="O233" s="2429"/>
      <c r="P233" s="2429"/>
      <c r="Q233" s="2429"/>
      <c r="R233" s="2429"/>
      <c r="T233" s="2428"/>
      <c r="U233" s="2428"/>
      <c r="V233" s="2428"/>
      <c r="W233" s="2428"/>
      <c r="X233" s="2428"/>
      <c r="Y233" s="2428"/>
      <c r="Z233" s="851"/>
      <c r="AA233" s="851"/>
      <c r="AB233" s="2432">
        <f t="shared" si="0"/>
        <v>0</v>
      </c>
      <c r="AC233" s="2432"/>
      <c r="AD233" s="2432"/>
      <c r="AE233" s="2432"/>
      <c r="AF233" s="2432"/>
      <c r="AG233" s="243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26">
        <f>SUM(AB224:AB233)</f>
        <v>0</v>
      </c>
      <c r="AC234" s="2426"/>
      <c r="AD234" s="2426"/>
      <c r="AE234" s="2426"/>
      <c r="AF234" s="2426"/>
      <c r="AG234" s="242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63"/>
      <c r="AC240" s="2463"/>
      <c r="AD240" s="2463"/>
      <c r="AE240" s="2463"/>
      <c r="AF240" s="2463"/>
      <c r="AG240" s="2463"/>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63"/>
      <c r="AC243" s="2463"/>
      <c r="AD243" s="2463"/>
      <c r="AE243" s="2463"/>
      <c r="AF243" s="2463"/>
      <c r="AG243" s="2463"/>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25"/>
      <c r="AC244" s="2425"/>
      <c r="AD244" s="2425"/>
      <c r="AE244" s="2425"/>
      <c r="AF244" s="2425"/>
      <c r="AG244" s="2425"/>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33">
        <f>IFERROR(AB243/AB244,0)</f>
        <v>0</v>
      </c>
      <c r="AC245" s="2433"/>
      <c r="AD245" s="2433"/>
      <c r="AE245" s="2433"/>
      <c r="AF245" s="2433"/>
      <c r="AG245" s="243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32">
        <f>MAX(AB240,AB245)</f>
        <v>0</v>
      </c>
      <c r="AC247" s="2432"/>
      <c r="AD247" s="2432"/>
      <c r="AE247" s="2432"/>
      <c r="AF247" s="2432"/>
      <c r="AG247" s="243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6">
        <f>AB234+AB247</f>
        <v>0</v>
      </c>
      <c r="AC250" s="2426"/>
      <c r="AD250" s="2426"/>
      <c r="AE250" s="2426"/>
      <c r="AF250" s="2426"/>
      <c r="AG250" s="242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7">
        <v>0.05</v>
      </c>
      <c r="AC251" s="2597"/>
      <c r="AD251" s="2597"/>
      <c r="AE251" s="2597"/>
      <c r="AF251" s="2597"/>
      <c r="AG251" s="259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8">
        <f>AB250-(AB250*AB251)</f>
        <v>0</v>
      </c>
      <c r="AC252" s="2598"/>
      <c r="AD252" s="2598"/>
      <c r="AE252" s="2598"/>
      <c r="AF252" s="2598"/>
      <c r="AG252" s="259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6">
        <f>AB252/AB258</f>
        <v>0</v>
      </c>
      <c r="AC254" s="2426"/>
      <c r="AD254" s="2426"/>
      <c r="AE254" s="2426"/>
      <c r="AF254" s="2426"/>
      <c r="AG254" s="242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9">
        <v>15</v>
      </c>
      <c r="AC256" s="2609"/>
      <c r="AD256" s="2609"/>
      <c r="AE256" s="2609"/>
      <c r="AF256" s="2609"/>
      <c r="AG256" s="260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00">
        <v>0.04</v>
      </c>
      <c r="AC257" s="2600"/>
      <c r="AD257" s="2600"/>
      <c r="AE257" s="2600"/>
      <c r="AF257" s="2600"/>
      <c r="AG257" s="260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01">
        <v>1.1499999999999999</v>
      </c>
      <c r="AC258" s="2601"/>
      <c r="AD258" s="2601"/>
      <c r="AE258" s="2601"/>
      <c r="AF258" s="2601"/>
      <c r="AG258" s="260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90">
        <f>PV(AB257/12,AB256*12,-AB254/12, ,0)</f>
        <v>0</v>
      </c>
      <c r="AC260" s="2591"/>
      <c r="AD260" s="2591"/>
      <c r="AE260" s="2591"/>
      <c r="AF260" s="2591"/>
      <c r="AG260" s="259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94">
        <f>IFERROR(('[1]Sources and Uses Budget'!D105/'[1]Sources and Uses Budget'!B105),0)</f>
        <v>8.9614581021590117E-2</v>
      </c>
      <c r="AC266" s="2595"/>
      <c r="AD266" s="2595"/>
      <c r="AE266" s="2595"/>
      <c r="AF266" s="2595"/>
      <c r="AG266" s="259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40">
        <f>AD211*(1-AB266)</f>
        <v>13957118.858358001</v>
      </c>
      <c r="AH268" s="2440"/>
      <c r="AI268" s="2440"/>
      <c r="AJ268" s="2440"/>
      <c r="AK268" s="2440"/>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40">
        <f>'Sources and Uses Budget'!C105</f>
        <v>38388196</v>
      </c>
      <c r="AH269" s="2440"/>
      <c r="AI269" s="2440"/>
      <c r="AJ269" s="2440"/>
      <c r="AK269" s="244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6">
        <f>ROUNDDOWN(IF(AND(C292="Yes",AK84=10),((AG268*2)/AG269),AG268/AG269),2)</f>
        <v>0.36</v>
      </c>
      <c r="AH270" s="2586"/>
      <c r="AI270" s="2586"/>
      <c r="AJ270" s="2586"/>
      <c r="AK270" s="258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75">
        <f>IFERROR(IF(AG270=0,0,IF((AG270*100)&gt;8,8,(AG270*100))),0)</f>
        <v>8</v>
      </c>
      <c r="AL273" s="2575"/>
      <c r="AM273" s="2576"/>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57" t="s">
        <v>546</v>
      </c>
      <c r="D278" s="2457"/>
      <c r="E278" s="547"/>
      <c r="F278" s="2409" t="s">
        <v>2025</v>
      </c>
      <c r="G278" s="2410"/>
      <c r="H278" s="2410"/>
      <c r="I278" s="2410"/>
      <c r="J278" s="2410"/>
      <c r="K278" s="2410"/>
      <c r="L278" s="2410"/>
      <c r="M278" s="2410"/>
      <c r="N278" s="2410"/>
      <c r="O278" s="2410"/>
      <c r="P278" s="2410"/>
      <c r="Q278" s="2410"/>
      <c r="R278" s="2410"/>
      <c r="S278" s="2410"/>
      <c r="T278" s="2410"/>
      <c r="U278" s="2410"/>
      <c r="V278" s="2410"/>
      <c r="W278" s="2410"/>
      <c r="X278" s="2410"/>
      <c r="Y278" s="2410"/>
      <c r="Z278" s="2410"/>
      <c r="AA278" s="2410"/>
      <c r="AB278" s="2410"/>
      <c r="AC278" s="2410"/>
      <c r="AD278" s="2411"/>
      <c r="AE278" s="550"/>
      <c r="AF278" s="635"/>
      <c r="AG278" s="2584" t="s">
        <v>1364</v>
      </c>
      <c r="AH278" s="2584"/>
      <c r="AI278" s="2584"/>
      <c r="AJ278" s="2584"/>
      <c r="AK278" s="550"/>
      <c r="AL278" s="550"/>
      <c r="AM278" s="550"/>
      <c r="AO278" s="550"/>
    </row>
    <row r="279" spans="1:52" ht="13.65" customHeight="1">
      <c r="A279" s="550"/>
      <c r="B279" s="596"/>
      <c r="C279" s="636"/>
      <c r="D279" s="550"/>
      <c r="E279" s="547"/>
      <c r="F279" s="2412"/>
      <c r="G279" s="2413"/>
      <c r="H279" s="2413"/>
      <c r="I279" s="2413"/>
      <c r="J279" s="2413"/>
      <c r="K279" s="2413"/>
      <c r="L279" s="2413"/>
      <c r="M279" s="2413"/>
      <c r="N279" s="2413"/>
      <c r="O279" s="2413"/>
      <c r="P279" s="2413"/>
      <c r="Q279" s="2413"/>
      <c r="R279" s="2413"/>
      <c r="S279" s="2413"/>
      <c r="T279" s="2413"/>
      <c r="U279" s="2413"/>
      <c r="V279" s="2413"/>
      <c r="W279" s="2413"/>
      <c r="X279" s="2413"/>
      <c r="Y279" s="2413"/>
      <c r="Z279" s="2413"/>
      <c r="AA279" s="2413"/>
      <c r="AB279" s="2413"/>
      <c r="AC279" s="2413"/>
      <c r="AD279" s="2414"/>
      <c r="AE279" s="550"/>
      <c r="AF279" s="635"/>
      <c r="AG279" s="635"/>
      <c r="AH279" s="635"/>
      <c r="AI279" s="635"/>
      <c r="AJ279" s="550"/>
      <c r="AK279" s="550"/>
      <c r="AL279" s="550"/>
      <c r="AM279" s="550"/>
      <c r="AO279" s="550"/>
    </row>
    <row r="280" spans="1:52">
      <c r="A280" s="550"/>
      <c r="B280" s="596"/>
      <c r="C280" s="636"/>
      <c r="D280" s="550"/>
      <c r="E280" s="547"/>
      <c r="F280" s="2412"/>
      <c r="G280" s="2413"/>
      <c r="H280" s="2413"/>
      <c r="I280" s="2413"/>
      <c r="J280" s="2413"/>
      <c r="K280" s="2413"/>
      <c r="L280" s="2413"/>
      <c r="M280" s="2413"/>
      <c r="N280" s="2413"/>
      <c r="O280" s="2413"/>
      <c r="P280" s="2413"/>
      <c r="Q280" s="2413"/>
      <c r="R280" s="2413"/>
      <c r="S280" s="2413"/>
      <c r="T280" s="2413"/>
      <c r="U280" s="2413"/>
      <c r="V280" s="2413"/>
      <c r="W280" s="2413"/>
      <c r="X280" s="2413"/>
      <c r="Y280" s="2413"/>
      <c r="Z280" s="2413"/>
      <c r="AA280" s="2413"/>
      <c r="AB280" s="2413"/>
      <c r="AC280" s="2413"/>
      <c r="AD280" s="2414"/>
      <c r="AE280" s="550"/>
      <c r="AF280" s="635"/>
      <c r="AG280" s="635"/>
      <c r="AH280" s="635"/>
      <c r="AI280" s="635"/>
      <c r="AJ280" s="550"/>
      <c r="AK280" s="550"/>
      <c r="AL280" s="550"/>
      <c r="AM280" s="550"/>
      <c r="AO280" s="550"/>
      <c r="AP280" s="637"/>
    </row>
    <row r="281" spans="1:52">
      <c r="A281" s="550"/>
      <c r="B281" s="596"/>
      <c r="C281" s="636"/>
      <c r="D281" s="550"/>
      <c r="E281" s="547"/>
      <c r="F281" s="2412"/>
      <c r="G281" s="2413"/>
      <c r="H281" s="2413"/>
      <c r="I281" s="2413"/>
      <c r="J281" s="2413"/>
      <c r="K281" s="2413"/>
      <c r="L281" s="2413"/>
      <c r="M281" s="2413"/>
      <c r="N281" s="2413"/>
      <c r="O281" s="2413"/>
      <c r="P281" s="2413"/>
      <c r="Q281" s="2413"/>
      <c r="R281" s="2413"/>
      <c r="S281" s="2413"/>
      <c r="T281" s="2413"/>
      <c r="U281" s="2413"/>
      <c r="V281" s="2413"/>
      <c r="W281" s="2413"/>
      <c r="X281" s="2413"/>
      <c r="Y281" s="2413"/>
      <c r="Z281" s="2413"/>
      <c r="AA281" s="2413"/>
      <c r="AB281" s="2413"/>
      <c r="AC281" s="2413"/>
      <c r="AD281" s="2414"/>
      <c r="AE281" s="550"/>
      <c r="AF281" s="635"/>
      <c r="AG281" s="635"/>
      <c r="AH281" s="635"/>
      <c r="AI281" s="635"/>
      <c r="AJ281" s="550"/>
      <c r="AK281" s="550"/>
      <c r="AL281" s="550"/>
      <c r="AM281" s="550"/>
      <c r="AO281" s="550"/>
      <c r="AP281" s="637"/>
    </row>
    <row r="282" spans="1:52" ht="13.65" customHeight="1">
      <c r="A282" s="550"/>
      <c r="B282" s="596"/>
      <c r="C282" s="2585"/>
      <c r="D282" s="2585"/>
      <c r="E282" s="547"/>
      <c r="F282" s="2415"/>
      <c r="G282" s="2416"/>
      <c r="H282" s="2416"/>
      <c r="I282" s="2416"/>
      <c r="J282" s="2416"/>
      <c r="K282" s="2416"/>
      <c r="L282" s="2416"/>
      <c r="M282" s="2416"/>
      <c r="N282" s="2416"/>
      <c r="O282" s="2416"/>
      <c r="P282" s="2416"/>
      <c r="Q282" s="2416"/>
      <c r="R282" s="2416"/>
      <c r="S282" s="2416"/>
      <c r="T282" s="2416"/>
      <c r="U282" s="2416"/>
      <c r="V282" s="2416"/>
      <c r="W282" s="2416"/>
      <c r="X282" s="2416"/>
      <c r="Y282" s="2416"/>
      <c r="Z282" s="2416"/>
      <c r="AA282" s="2416"/>
      <c r="AB282" s="2416"/>
      <c r="AC282" s="2416"/>
      <c r="AD282" s="2417"/>
      <c r="AE282" s="550"/>
      <c r="AF282" s="635"/>
      <c r="AG282" s="2584"/>
      <c r="AH282" s="2584"/>
      <c r="AI282" s="2584"/>
      <c r="AJ282" s="2584"/>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75">
        <f>IF($C$278="yes",10,0)</f>
        <v>10</v>
      </c>
      <c r="AL285" s="2575"/>
      <c r="AM285" s="2576"/>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3" t="s">
        <v>1383</v>
      </c>
      <c r="B292" s="1643"/>
      <c r="C292" s="2408" t="s">
        <v>592</v>
      </c>
      <c r="D292" s="2457"/>
      <c r="E292" s="547"/>
      <c r="F292" s="2577" t="s">
        <v>1384</v>
      </c>
      <c r="G292" s="2578"/>
      <c r="H292" s="2578"/>
      <c r="I292" s="2578"/>
      <c r="J292" s="2578"/>
      <c r="K292" s="2578"/>
      <c r="L292" s="2578"/>
      <c r="M292" s="2578"/>
      <c r="N292" s="2578"/>
      <c r="O292" s="2578"/>
      <c r="P292" s="2578"/>
      <c r="Q292" s="2578"/>
      <c r="R292" s="2578"/>
      <c r="S292" s="2578"/>
      <c r="T292" s="2578"/>
      <c r="U292" s="2578"/>
      <c r="V292" s="2578"/>
      <c r="W292" s="2578"/>
      <c r="X292" s="2578"/>
      <c r="Y292" s="2578"/>
      <c r="Z292" s="2578"/>
      <c r="AA292" s="2578"/>
      <c r="AB292" s="2578"/>
      <c r="AC292" s="2578"/>
      <c r="AD292" s="2579"/>
      <c r="AE292" s="642"/>
      <c r="AF292" s="550"/>
      <c r="AG292" s="2580" t="s">
        <v>2018</v>
      </c>
      <c r="AH292" s="2580"/>
      <c r="AI292" s="2580"/>
      <c r="AJ292" s="2580"/>
      <c r="AK292" s="2580"/>
      <c r="AL292" s="550"/>
      <c r="AM292" s="550"/>
      <c r="AN292" s="73"/>
      <c r="AO292" s="14"/>
      <c r="AP292" s="30"/>
      <c r="AS292" s="570"/>
      <c r="AT292" s="570"/>
      <c r="AU292" s="570"/>
      <c r="AV292" s="32"/>
      <c r="AW292" s="32"/>
    </row>
    <row r="293" spans="1:49">
      <c r="A293" s="640"/>
      <c r="B293" s="596"/>
      <c r="F293" s="2435"/>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35"/>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35" t="s">
        <v>2026</v>
      </c>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7"/>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35"/>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5" t="s">
        <v>1385</v>
      </c>
      <c r="G297" s="2436"/>
      <c r="H297" s="2436"/>
      <c r="I297" s="2436"/>
      <c r="J297" s="2436"/>
      <c r="K297" s="2436"/>
      <c r="L297" s="2436"/>
      <c r="M297" s="2436"/>
      <c r="N297" s="2436"/>
      <c r="O297" s="2436"/>
      <c r="P297" s="2436"/>
      <c r="Q297" s="2436"/>
      <c r="R297" s="2436"/>
      <c r="S297" s="2436"/>
      <c r="T297" s="2436"/>
      <c r="U297" s="2436"/>
      <c r="V297" s="2436"/>
      <c r="W297" s="2436"/>
      <c r="X297" s="2436"/>
      <c r="Y297" s="2436"/>
      <c r="Z297" s="2436"/>
      <c r="AA297" s="2436"/>
      <c r="AB297" s="2436"/>
      <c r="AC297" s="2436"/>
      <c r="AD297" s="243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5"/>
      <c r="G298" s="2436"/>
      <c r="H298" s="2436"/>
      <c r="I298" s="2436"/>
      <c r="J298" s="2436"/>
      <c r="K298" s="2436"/>
      <c r="L298" s="2436"/>
      <c r="M298" s="2436"/>
      <c r="N298" s="2436"/>
      <c r="O298" s="2436"/>
      <c r="P298" s="2436"/>
      <c r="Q298" s="2436"/>
      <c r="R298" s="2436"/>
      <c r="S298" s="2436"/>
      <c r="T298" s="2436"/>
      <c r="U298" s="2436"/>
      <c r="V298" s="2436"/>
      <c r="W298" s="2436"/>
      <c r="X298" s="2436"/>
      <c r="Y298" s="2436"/>
      <c r="Z298" s="2436"/>
      <c r="AA298" s="2436"/>
      <c r="AB298" s="2436"/>
      <c r="AC298" s="2436"/>
      <c r="AD298" s="243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5" t="s">
        <v>1386</v>
      </c>
      <c r="G299" s="2436"/>
      <c r="H299" s="2436"/>
      <c r="I299" s="2436"/>
      <c r="J299" s="2436"/>
      <c r="K299" s="2436"/>
      <c r="L299" s="2436"/>
      <c r="M299" s="2436"/>
      <c r="N299" s="2436"/>
      <c r="O299" s="2436"/>
      <c r="P299" s="2436"/>
      <c r="Q299" s="2436"/>
      <c r="R299" s="2436"/>
      <c r="S299" s="2436"/>
      <c r="T299" s="2436"/>
      <c r="U299" s="2436"/>
      <c r="V299" s="2436"/>
      <c r="W299" s="2436"/>
      <c r="X299" s="2436"/>
      <c r="Y299" s="2436"/>
      <c r="Z299" s="2436"/>
      <c r="AA299" s="2436"/>
      <c r="AB299" s="2436"/>
      <c r="AC299" s="2436"/>
      <c r="AD299" s="243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8"/>
      <c r="G300" s="2439"/>
      <c r="H300" s="2439"/>
      <c r="I300" s="2439"/>
      <c r="J300" s="2439"/>
      <c r="K300" s="2439"/>
      <c r="L300" s="2439"/>
      <c r="M300" s="2439"/>
      <c r="N300" s="2439"/>
      <c r="O300" s="2439"/>
      <c r="P300" s="2439"/>
      <c r="Q300" s="2439"/>
      <c r="R300" s="2439"/>
      <c r="S300" s="2439"/>
      <c r="T300" s="2439"/>
      <c r="U300" s="2439"/>
      <c r="V300" s="2439"/>
      <c r="W300" s="2439"/>
      <c r="X300" s="2439"/>
      <c r="Y300" s="2439"/>
      <c r="Z300" s="2439"/>
      <c r="AA300" s="2439"/>
      <c r="AB300" s="2439"/>
      <c r="AC300" s="2439"/>
      <c r="AD300" s="257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3" t="s">
        <v>1387</v>
      </c>
      <c r="B302" s="1643"/>
      <c r="C302" s="2457" t="s">
        <v>546</v>
      </c>
      <c r="D302" s="245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59" t="s">
        <v>2020</v>
      </c>
      <c r="G303" s="2560"/>
      <c r="H303" s="2560"/>
      <c r="I303" s="2560"/>
      <c r="J303" s="2560"/>
      <c r="K303" s="2560"/>
      <c r="L303" s="2560"/>
      <c r="M303" s="2560"/>
      <c r="N303" s="2560"/>
      <c r="O303" s="2560"/>
      <c r="P303" s="2560"/>
      <c r="Q303" s="2560"/>
      <c r="R303" s="2560"/>
      <c r="S303" s="2560"/>
      <c r="T303" s="2560"/>
      <c r="U303" s="2560"/>
      <c r="V303" s="2560"/>
      <c r="W303" s="2560"/>
      <c r="X303" s="2560"/>
      <c r="Y303" s="2560"/>
      <c r="Z303" s="2560"/>
      <c r="AA303" s="2560"/>
      <c r="AB303" s="2560"/>
      <c r="AC303" s="2560"/>
      <c r="AD303" s="2561"/>
      <c r="AE303" s="551"/>
      <c r="AF303" s="551"/>
      <c r="AG303" s="551"/>
      <c r="AH303" s="551"/>
      <c r="AI303" s="551"/>
      <c r="AJ303" s="550"/>
      <c r="AK303" s="550"/>
      <c r="AL303" s="550"/>
      <c r="AM303" s="550"/>
      <c r="AR303" s="648"/>
    </row>
    <row r="304" spans="1:49" ht="15" customHeight="1">
      <c r="A304" s="550"/>
      <c r="B304" s="551"/>
      <c r="C304" s="550"/>
      <c r="D304" s="551"/>
      <c r="E304" s="550"/>
      <c r="F304" s="2559"/>
      <c r="G304" s="2560"/>
      <c r="H304" s="2560"/>
      <c r="I304" s="2560"/>
      <c r="J304" s="2560"/>
      <c r="K304" s="2560"/>
      <c r="L304" s="2560"/>
      <c r="M304" s="2560"/>
      <c r="N304" s="2560"/>
      <c r="O304" s="2560"/>
      <c r="P304" s="2560"/>
      <c r="Q304" s="2560"/>
      <c r="R304" s="2560"/>
      <c r="S304" s="2560"/>
      <c r="T304" s="2560"/>
      <c r="U304" s="2560"/>
      <c r="V304" s="2560"/>
      <c r="W304" s="2560"/>
      <c r="X304" s="2560"/>
      <c r="Y304" s="2560"/>
      <c r="Z304" s="2560"/>
      <c r="AA304" s="2560"/>
      <c r="AB304" s="2560"/>
      <c r="AC304" s="2560"/>
      <c r="AD304" s="2561"/>
      <c r="AE304" s="551"/>
      <c r="AF304" s="551"/>
      <c r="AG304" s="551"/>
      <c r="AH304" s="551"/>
      <c r="AI304" s="551"/>
      <c r="AJ304" s="550"/>
      <c r="AK304" s="550"/>
      <c r="AL304" s="550"/>
      <c r="AM304" s="550"/>
      <c r="AR304" s="648"/>
    </row>
    <row r="305" spans="1:44">
      <c r="A305" s="550"/>
      <c r="B305" s="551"/>
      <c r="C305" s="550"/>
      <c r="D305" s="551"/>
      <c r="E305" s="550"/>
      <c r="F305" s="2559"/>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81"/>
      <c r="G306" s="2582"/>
      <c r="H306" s="2582"/>
      <c r="I306" s="2582"/>
      <c r="J306" s="2582"/>
      <c r="K306" s="2582"/>
      <c r="L306" s="2582"/>
      <c r="M306" s="2582"/>
      <c r="N306" s="2582"/>
      <c r="O306" s="2582"/>
      <c r="P306" s="2582"/>
      <c r="Q306" s="2582"/>
      <c r="R306" s="2582"/>
      <c r="S306" s="2582"/>
      <c r="T306" s="2582"/>
      <c r="U306" s="2582"/>
      <c r="V306" s="2582"/>
      <c r="W306" s="2582"/>
      <c r="X306" s="2582"/>
      <c r="Y306" s="2582"/>
      <c r="Z306" s="2582"/>
      <c r="AA306" s="2582"/>
      <c r="AB306" s="2582"/>
      <c r="AC306" s="2582"/>
      <c r="AD306" s="258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3" t="s">
        <v>1390</v>
      </c>
      <c r="B310" s="1643"/>
      <c r="C310" s="2457" t="s">
        <v>592</v>
      </c>
      <c r="D310" s="245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35" t="s">
        <v>2027</v>
      </c>
      <c r="G311" s="2436"/>
      <c r="H311" s="2436"/>
      <c r="I311" s="2436"/>
      <c r="J311" s="2436"/>
      <c r="K311" s="2436"/>
      <c r="L311" s="2436"/>
      <c r="M311" s="2436"/>
      <c r="N311" s="2436"/>
      <c r="O311" s="2436"/>
      <c r="P311" s="2436"/>
      <c r="Q311" s="2436"/>
      <c r="R311" s="2436"/>
      <c r="S311" s="2436"/>
      <c r="T311" s="2436"/>
      <c r="U311" s="2436"/>
      <c r="V311" s="2436"/>
      <c r="W311" s="2436"/>
      <c r="X311" s="2436"/>
      <c r="Y311" s="2436"/>
      <c r="Z311" s="2436"/>
      <c r="AA311" s="2436"/>
      <c r="AB311" s="2436"/>
      <c r="AC311" s="2436"/>
      <c r="AD311" s="2437"/>
      <c r="AE311" s="551"/>
      <c r="AF311" s="551"/>
      <c r="AG311" s="539"/>
      <c r="AH311" s="551"/>
      <c r="AI311" s="551"/>
      <c r="AJ311" s="550"/>
      <c r="AK311" s="550"/>
      <c r="AL311" s="550"/>
      <c r="AM311" s="550"/>
      <c r="AN311" s="73"/>
      <c r="AO311" s="14"/>
      <c r="AP311" s="557" t="s">
        <v>1185</v>
      </c>
    </row>
    <row r="312" spans="1:44" hidden="1">
      <c r="F312" s="2435"/>
      <c r="G312" s="2436"/>
      <c r="H312" s="2436"/>
      <c r="I312" s="2436"/>
      <c r="J312" s="2436"/>
      <c r="K312" s="2436"/>
      <c r="L312" s="2436"/>
      <c r="M312" s="2436"/>
      <c r="N312" s="2436"/>
      <c r="O312" s="2436"/>
      <c r="P312" s="2436"/>
      <c r="Q312" s="2436"/>
      <c r="R312" s="2436"/>
      <c r="S312" s="2436"/>
      <c r="T312" s="2436"/>
      <c r="U312" s="2436"/>
      <c r="V312" s="2436"/>
      <c r="W312" s="2436"/>
      <c r="X312" s="2436"/>
      <c r="Y312" s="2436"/>
      <c r="Z312" s="2436"/>
      <c r="AA312" s="2436"/>
      <c r="AB312" s="2436"/>
      <c r="AC312" s="2436"/>
      <c r="AD312" s="243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62" t="s">
        <v>1185</v>
      </c>
      <c r="G316" s="2563"/>
      <c r="H316" s="2563"/>
      <c r="I316" s="2563"/>
      <c r="J316" s="2563"/>
      <c r="K316" s="2563"/>
      <c r="L316" s="2563"/>
      <c r="M316" s="2563"/>
      <c r="N316" s="2563"/>
      <c r="O316" s="2563"/>
      <c r="P316" s="2563"/>
      <c r="Q316" s="2563"/>
      <c r="R316" s="2563"/>
      <c r="S316" s="2563"/>
      <c r="T316" s="2563"/>
      <c r="U316" s="2563"/>
      <c r="V316" s="2563"/>
      <c r="W316" s="2563"/>
      <c r="X316" s="2563"/>
      <c r="Y316" s="2563"/>
      <c r="Z316" s="2563"/>
      <c r="AA316" s="2563"/>
      <c r="AB316" s="2563"/>
      <c r="AC316" s="2563"/>
      <c r="AD316" s="2564"/>
      <c r="AE316" s="642"/>
      <c r="AF316" s="642"/>
      <c r="AG316" s="642"/>
      <c r="AH316" s="642"/>
      <c r="AI316" s="642"/>
      <c r="AJ316" s="642"/>
      <c r="AK316" s="642"/>
      <c r="AL316" s="550"/>
      <c r="AM316" s="550"/>
      <c r="AN316" s="73"/>
      <c r="AO316" s="14"/>
      <c r="AP316" s="30"/>
    </row>
    <row r="317" spans="1:44" hidden="1">
      <c r="A317" s="550"/>
      <c r="B317" s="551"/>
      <c r="C317" s="730"/>
      <c r="D317" s="730"/>
      <c r="E317" s="547"/>
      <c r="F317" s="2562"/>
      <c r="G317" s="2563"/>
      <c r="H317" s="2563"/>
      <c r="I317" s="2563"/>
      <c r="J317" s="2563"/>
      <c r="K317" s="2563"/>
      <c r="L317" s="2563"/>
      <c r="M317" s="2563"/>
      <c r="N317" s="2563"/>
      <c r="O317" s="2563"/>
      <c r="P317" s="2563"/>
      <c r="Q317" s="2563"/>
      <c r="R317" s="2563"/>
      <c r="S317" s="2563"/>
      <c r="T317" s="2563"/>
      <c r="U317" s="2563"/>
      <c r="V317" s="2563"/>
      <c r="W317" s="2563"/>
      <c r="X317" s="2563"/>
      <c r="Y317" s="2563"/>
      <c r="Z317" s="2563"/>
      <c r="AA317" s="2563"/>
      <c r="AB317" s="2563"/>
      <c r="AC317" s="2563"/>
      <c r="AD317" s="2564"/>
      <c r="AE317" s="551"/>
      <c r="AF317" s="551"/>
      <c r="AG317" s="539"/>
      <c r="AH317" s="551"/>
      <c r="AI317" s="551"/>
      <c r="AJ317" s="550"/>
      <c r="AK317" s="550"/>
      <c r="AL317" s="550"/>
      <c r="AM317" s="550"/>
      <c r="AN317" s="73"/>
      <c r="AO317" s="14"/>
      <c r="AP317" s="30"/>
    </row>
    <row r="318" spans="1:44" hidden="1">
      <c r="A318" s="550"/>
      <c r="B318" s="551"/>
      <c r="C318" s="730"/>
      <c r="D318" s="730"/>
      <c r="E318" s="547"/>
      <c r="F318" s="2562"/>
      <c r="G318" s="2563"/>
      <c r="H318" s="2563"/>
      <c r="I318" s="2563"/>
      <c r="J318" s="2563"/>
      <c r="K318" s="2563"/>
      <c r="L318" s="2563"/>
      <c r="M318" s="2563"/>
      <c r="N318" s="2563"/>
      <c r="O318" s="2563"/>
      <c r="P318" s="2563"/>
      <c r="Q318" s="2563"/>
      <c r="R318" s="2563"/>
      <c r="S318" s="2563"/>
      <c r="T318" s="2563"/>
      <c r="U318" s="2563"/>
      <c r="V318" s="2563"/>
      <c r="W318" s="2563"/>
      <c r="X318" s="2563"/>
      <c r="Y318" s="2563"/>
      <c r="Z318" s="2563"/>
      <c r="AA318" s="2563"/>
      <c r="AB318" s="2563"/>
      <c r="AC318" s="2563"/>
      <c r="AD318" s="2564"/>
      <c r="AE318" s="551"/>
      <c r="AF318" s="551"/>
      <c r="AG318" s="539"/>
      <c r="AH318" s="551"/>
      <c r="AI318" s="551"/>
      <c r="AJ318" s="550"/>
      <c r="AK318" s="550"/>
      <c r="AL318" s="550"/>
      <c r="AM318" s="550"/>
      <c r="AN318" s="73"/>
      <c r="AO318" s="14"/>
      <c r="AP318" s="30"/>
    </row>
    <row r="319" spans="1:44" hidden="1">
      <c r="A319" s="550"/>
      <c r="B319" s="551"/>
      <c r="C319" s="730"/>
      <c r="D319" s="730"/>
      <c r="E319" s="547"/>
      <c r="F319" s="2562"/>
      <c r="G319" s="2563"/>
      <c r="H319" s="2563"/>
      <c r="I319" s="2563"/>
      <c r="J319" s="2563"/>
      <c r="K319" s="2563"/>
      <c r="L319" s="2563"/>
      <c r="M319" s="2563"/>
      <c r="N319" s="2563"/>
      <c r="O319" s="2563"/>
      <c r="P319" s="2563"/>
      <c r="Q319" s="2563"/>
      <c r="R319" s="2563"/>
      <c r="S319" s="2563"/>
      <c r="T319" s="2563"/>
      <c r="U319" s="2563"/>
      <c r="V319" s="2563"/>
      <c r="W319" s="2563"/>
      <c r="X319" s="2563"/>
      <c r="Y319" s="2563"/>
      <c r="Z319" s="2563"/>
      <c r="AA319" s="2563"/>
      <c r="AB319" s="2563"/>
      <c r="AC319" s="2563"/>
      <c r="AD319" s="2564"/>
      <c r="AE319" s="551"/>
      <c r="AF319" s="551"/>
      <c r="AG319" s="539"/>
      <c r="AH319" s="551"/>
      <c r="AI319" s="551"/>
      <c r="AJ319" s="550"/>
      <c r="AK319" s="550"/>
      <c r="AL319" s="550"/>
      <c r="AM319" s="550"/>
      <c r="AN319" s="73"/>
      <c r="AO319" s="14"/>
      <c r="AP319" s="30"/>
    </row>
    <row r="320" spans="1:44" hidden="1">
      <c r="A320" s="550"/>
      <c r="B320" s="551"/>
      <c r="C320" s="730"/>
      <c r="D320" s="730"/>
      <c r="E320" s="547"/>
      <c r="F320" s="2565"/>
      <c r="G320" s="2566"/>
      <c r="H320" s="2566"/>
      <c r="I320" s="2566"/>
      <c r="J320" s="2566"/>
      <c r="K320" s="2566"/>
      <c r="L320" s="2566"/>
      <c r="M320" s="2566"/>
      <c r="N320" s="2566"/>
      <c r="O320" s="2566"/>
      <c r="P320" s="2566"/>
      <c r="Q320" s="2566"/>
      <c r="R320" s="2566"/>
      <c r="S320" s="2566"/>
      <c r="T320" s="2566"/>
      <c r="U320" s="2566"/>
      <c r="V320" s="2566"/>
      <c r="W320" s="2566"/>
      <c r="X320" s="2566"/>
      <c r="Y320" s="2566"/>
      <c r="Z320" s="2566"/>
      <c r="AA320" s="2566"/>
      <c r="AB320" s="2566"/>
      <c r="AC320" s="2566"/>
      <c r="AD320" s="256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68" t="s">
        <v>1185</v>
      </c>
      <c r="J324" s="2568"/>
      <c r="K324" s="2568"/>
      <c r="L324" s="2568"/>
      <c r="M324" s="2568"/>
      <c r="N324" s="2568"/>
      <c r="O324" s="2568"/>
      <c r="P324" s="2568"/>
      <c r="Q324" s="2568"/>
      <c r="R324" s="2568"/>
      <c r="S324" s="2568"/>
      <c r="T324" s="2568"/>
      <c r="U324" s="2568"/>
      <c r="V324" s="2568"/>
      <c r="W324" s="2568"/>
      <c r="X324" s="2568"/>
      <c r="Y324" s="2568"/>
      <c r="Z324" s="2568"/>
      <c r="AA324" s="2568"/>
      <c r="AB324" s="2568"/>
      <c r="AC324" s="2568"/>
      <c r="AD324" s="256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68"/>
      <c r="J325" s="2568"/>
      <c r="K325" s="2568"/>
      <c r="L325" s="2568"/>
      <c r="M325" s="2568"/>
      <c r="N325" s="2568"/>
      <c r="O325" s="2568"/>
      <c r="P325" s="2568"/>
      <c r="Q325" s="2568"/>
      <c r="R325" s="2568"/>
      <c r="S325" s="2568"/>
      <c r="T325" s="2568"/>
      <c r="U325" s="2568"/>
      <c r="V325" s="2568"/>
      <c r="W325" s="2568"/>
      <c r="X325" s="2568"/>
      <c r="Y325" s="2568"/>
      <c r="Z325" s="2568"/>
      <c r="AA325" s="2568"/>
      <c r="AB325" s="2568"/>
      <c r="AC325" s="2568"/>
      <c r="AD325" s="256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68"/>
      <c r="J326" s="2568"/>
      <c r="K326" s="2568"/>
      <c r="L326" s="2568"/>
      <c r="M326" s="2568"/>
      <c r="N326" s="2568"/>
      <c r="O326" s="2568"/>
      <c r="P326" s="2568"/>
      <c r="Q326" s="2568"/>
      <c r="R326" s="2568"/>
      <c r="S326" s="2568"/>
      <c r="T326" s="2568"/>
      <c r="U326" s="2568"/>
      <c r="V326" s="2568"/>
      <c r="W326" s="2568"/>
      <c r="X326" s="2568"/>
      <c r="Y326" s="2568"/>
      <c r="Z326" s="2568"/>
      <c r="AA326" s="2568"/>
      <c r="AB326" s="2568"/>
      <c r="AC326" s="2568"/>
      <c r="AD326" s="256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70"/>
      <c r="J327" s="2570"/>
      <c r="K327" s="2570"/>
      <c r="L327" s="2570"/>
      <c r="M327" s="2570"/>
      <c r="N327" s="2570"/>
      <c r="O327" s="2570"/>
      <c r="P327" s="2570"/>
      <c r="Q327" s="2570"/>
      <c r="R327" s="2570"/>
      <c r="S327" s="2570"/>
      <c r="T327" s="2570"/>
      <c r="U327" s="2570"/>
      <c r="V327" s="2570"/>
      <c r="W327" s="2570"/>
      <c r="X327" s="2570"/>
      <c r="Y327" s="2570"/>
      <c r="Z327" s="2570"/>
      <c r="AA327" s="2570"/>
      <c r="AB327" s="2570"/>
      <c r="AC327" s="2570"/>
      <c r="AD327" s="257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68" t="s">
        <v>1185</v>
      </c>
      <c r="J329" s="2568"/>
      <c r="K329" s="2568"/>
      <c r="L329" s="2568"/>
      <c r="M329" s="2568"/>
      <c r="N329" s="2568"/>
      <c r="O329" s="2568"/>
      <c r="P329" s="2568"/>
      <c r="Q329" s="2568"/>
      <c r="R329" s="2568"/>
      <c r="S329" s="2568"/>
      <c r="T329" s="2568"/>
      <c r="U329" s="2568"/>
      <c r="V329" s="2568"/>
      <c r="W329" s="2568"/>
      <c r="X329" s="2568"/>
      <c r="Y329" s="2568"/>
      <c r="Z329" s="2568"/>
      <c r="AA329" s="2568"/>
      <c r="AB329" s="2568"/>
      <c r="AC329" s="2568"/>
      <c r="AD329" s="256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8"/>
      <c r="J330" s="2568"/>
      <c r="K330" s="2568"/>
      <c r="L330" s="2568"/>
      <c r="M330" s="2568"/>
      <c r="N330" s="2568"/>
      <c r="O330" s="2568"/>
      <c r="P330" s="2568"/>
      <c r="Q330" s="2568"/>
      <c r="R330" s="2568"/>
      <c r="S330" s="2568"/>
      <c r="T330" s="2568"/>
      <c r="U330" s="2568"/>
      <c r="V330" s="2568"/>
      <c r="W330" s="2568"/>
      <c r="X330" s="2568"/>
      <c r="Y330" s="2568"/>
      <c r="Z330" s="2568"/>
      <c r="AA330" s="2568"/>
      <c r="AB330" s="2568"/>
      <c r="AC330" s="2568"/>
      <c r="AD330" s="256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70"/>
      <c r="J331" s="2570"/>
      <c r="K331" s="2570"/>
      <c r="L331" s="2570"/>
      <c r="M331" s="2570"/>
      <c r="N331" s="2570"/>
      <c r="O331" s="2570"/>
      <c r="P331" s="2570"/>
      <c r="Q331" s="2570"/>
      <c r="R331" s="2570"/>
      <c r="S331" s="2570"/>
      <c r="T331" s="2570"/>
      <c r="U331" s="2570"/>
      <c r="V331" s="2570"/>
      <c r="W331" s="2570"/>
      <c r="X331" s="2570"/>
      <c r="Y331" s="2570"/>
      <c r="Z331" s="2570"/>
      <c r="AA331" s="2570"/>
      <c r="AB331" s="2570"/>
      <c r="AC331" s="2570"/>
      <c r="AD331" s="257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3" t="s">
        <v>1393</v>
      </c>
      <c r="B333" s="1643"/>
      <c r="C333" s="2457" t="s">
        <v>592</v>
      </c>
      <c r="D333" s="2457"/>
      <c r="E333" s="547"/>
      <c r="F333" s="2556" t="s">
        <v>2028</v>
      </c>
      <c r="G333" s="2557"/>
      <c r="H333" s="2557"/>
      <c r="I333" s="2557"/>
      <c r="J333" s="2557"/>
      <c r="K333" s="2557"/>
      <c r="L333" s="2557"/>
      <c r="M333" s="2557"/>
      <c r="N333" s="2557"/>
      <c r="O333" s="2557"/>
      <c r="P333" s="2557"/>
      <c r="Q333" s="2557"/>
      <c r="R333" s="2557"/>
      <c r="S333" s="2557"/>
      <c r="T333" s="2557"/>
      <c r="U333" s="2557"/>
      <c r="V333" s="2557"/>
      <c r="W333" s="2557"/>
      <c r="X333" s="2557"/>
      <c r="Y333" s="2557"/>
      <c r="Z333" s="2557"/>
      <c r="AA333" s="2557"/>
      <c r="AB333" s="2557"/>
      <c r="AC333" s="2557"/>
      <c r="AD333" s="255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59"/>
      <c r="G334" s="2560"/>
      <c r="H334" s="2560"/>
      <c r="I334" s="2560"/>
      <c r="J334" s="2560"/>
      <c r="K334" s="2560"/>
      <c r="L334" s="2560"/>
      <c r="M334" s="2560"/>
      <c r="N334" s="2560"/>
      <c r="O334" s="2560"/>
      <c r="P334" s="2560"/>
      <c r="Q334" s="2560"/>
      <c r="R334" s="2560"/>
      <c r="S334" s="2560"/>
      <c r="T334" s="2560"/>
      <c r="U334" s="2560"/>
      <c r="V334" s="2560"/>
      <c r="W334" s="2560"/>
      <c r="X334" s="2560"/>
      <c r="Y334" s="2560"/>
      <c r="Z334" s="2560"/>
      <c r="AA334" s="2560"/>
      <c r="AB334" s="2560"/>
      <c r="AC334" s="2560"/>
      <c r="AD334" s="2561"/>
      <c r="AE334" s="551"/>
      <c r="AF334" s="551"/>
      <c r="AG334" s="551"/>
      <c r="AH334" s="551"/>
      <c r="AI334" s="551"/>
      <c r="AJ334" s="550"/>
      <c r="AK334" s="550"/>
      <c r="AL334" s="550"/>
      <c r="AM334" s="550"/>
      <c r="AN334" s="73"/>
      <c r="AO334" s="14"/>
    </row>
    <row r="335" spans="1:42" ht="15" hidden="1" customHeight="1">
      <c r="A335" s="550"/>
      <c r="B335" s="551"/>
      <c r="C335" s="551"/>
      <c r="D335" s="551"/>
      <c r="E335" s="551"/>
      <c r="F335" s="2559"/>
      <c r="G335" s="2560"/>
      <c r="H335" s="2560"/>
      <c r="I335" s="2560"/>
      <c r="J335" s="2560"/>
      <c r="K335" s="2560"/>
      <c r="L335" s="2560"/>
      <c r="M335" s="2560"/>
      <c r="N335" s="2560"/>
      <c r="O335" s="2560"/>
      <c r="P335" s="2560"/>
      <c r="Q335" s="2560"/>
      <c r="R335" s="2560"/>
      <c r="S335" s="2560"/>
      <c r="T335" s="2560"/>
      <c r="U335" s="2560"/>
      <c r="V335" s="2560"/>
      <c r="W335" s="2560"/>
      <c r="X335" s="2560"/>
      <c r="Y335" s="2560"/>
      <c r="Z335" s="2560"/>
      <c r="AA335" s="2560"/>
      <c r="AB335" s="2560"/>
      <c r="AC335" s="2560"/>
      <c r="AD335" s="256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43">
        <f>IF(NOT(OR(Application!M355="Yes",Application!M356="Yes")),0,AP295)</f>
        <v>9</v>
      </c>
      <c r="AL338" s="2444"/>
      <c r="AM338" s="244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76" t="s">
        <v>1315</v>
      </c>
      <c r="AF341" s="2476"/>
      <c r="AG341" s="2476"/>
      <c r="AH341" s="2476"/>
      <c r="AI341" s="2476"/>
      <c r="AJ341" s="2476"/>
      <c r="AK341" s="247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52" t="s">
        <v>1455</v>
      </c>
      <c r="D343" s="2452"/>
      <c r="E343" s="2452"/>
      <c r="F343" s="2452"/>
      <c r="G343" s="2452"/>
      <c r="H343" s="2452"/>
      <c r="I343" s="2452"/>
      <c r="J343" s="2452"/>
      <c r="K343" s="2452"/>
      <c r="L343" s="2452"/>
      <c r="M343" s="2452"/>
      <c r="N343" s="2452"/>
      <c r="O343" s="2452"/>
      <c r="P343" s="2452"/>
      <c r="Q343" s="2452"/>
      <c r="R343" s="2452"/>
      <c r="S343" s="2452"/>
      <c r="T343" s="2452"/>
      <c r="U343" s="2452"/>
      <c r="V343" s="2452"/>
      <c r="W343" s="2452"/>
      <c r="X343" s="2452"/>
      <c r="Y343" s="2452"/>
      <c r="Z343" s="2452"/>
      <c r="AA343" s="2452"/>
      <c r="AB343" s="2452"/>
      <c r="AC343" s="2452"/>
      <c r="AD343" s="2452"/>
      <c r="AE343" s="2452"/>
      <c r="AF343" s="2452"/>
      <c r="AG343" s="2452"/>
      <c r="AH343" s="2452"/>
      <c r="AI343" s="2452"/>
      <c r="AJ343" s="2452"/>
      <c r="AK343" s="603"/>
      <c r="AL343" s="603"/>
      <c r="AM343" s="603"/>
      <c r="AN343" s="597"/>
    </row>
    <row r="344" spans="1:44" s="550" customFormat="1" ht="12.75" customHeight="1">
      <c r="A344" s="603"/>
      <c r="B344" s="611"/>
      <c r="C344" s="2452"/>
      <c r="D344" s="2452"/>
      <c r="E344" s="2452"/>
      <c r="F344" s="2452"/>
      <c r="G344" s="2452"/>
      <c r="H344" s="2452"/>
      <c r="I344" s="2452"/>
      <c r="J344" s="2452"/>
      <c r="K344" s="2452"/>
      <c r="L344" s="2452"/>
      <c r="M344" s="2452"/>
      <c r="N344" s="2452"/>
      <c r="O344" s="2452"/>
      <c r="P344" s="2452"/>
      <c r="Q344" s="2452"/>
      <c r="R344" s="2452"/>
      <c r="S344" s="2452"/>
      <c r="T344" s="2452"/>
      <c r="U344" s="2452"/>
      <c r="V344" s="2452"/>
      <c r="W344" s="2452"/>
      <c r="X344" s="2452"/>
      <c r="Y344" s="2452"/>
      <c r="Z344" s="2452"/>
      <c r="AA344" s="2452"/>
      <c r="AB344" s="2452"/>
      <c r="AC344" s="2452"/>
      <c r="AD344" s="2452"/>
      <c r="AE344" s="2452"/>
      <c r="AF344" s="2452"/>
      <c r="AG344" s="2452"/>
      <c r="AH344" s="2452"/>
      <c r="AI344" s="2452"/>
      <c r="AJ344" s="2452"/>
      <c r="AK344" s="603"/>
      <c r="AL344" s="603"/>
      <c r="AM344" s="603"/>
      <c r="AN344" s="597"/>
    </row>
    <row r="345" spans="1:44" s="550" customFormat="1" ht="12.75" customHeight="1">
      <c r="A345" s="603"/>
      <c r="B345" s="611"/>
      <c r="C345" s="2452"/>
      <c r="D345" s="2452"/>
      <c r="E345" s="2452"/>
      <c r="F345" s="2452"/>
      <c r="G345" s="2452"/>
      <c r="H345" s="2452"/>
      <c r="I345" s="2452"/>
      <c r="J345" s="2452"/>
      <c r="K345" s="2452"/>
      <c r="L345" s="2452"/>
      <c r="M345" s="2452"/>
      <c r="N345" s="2452"/>
      <c r="O345" s="2452"/>
      <c r="P345" s="2452"/>
      <c r="Q345" s="2452"/>
      <c r="R345" s="2452"/>
      <c r="S345" s="2452"/>
      <c r="T345" s="2452"/>
      <c r="U345" s="2452"/>
      <c r="V345" s="2452"/>
      <c r="W345" s="2452"/>
      <c r="X345" s="2452"/>
      <c r="Y345" s="2452"/>
      <c r="Z345" s="2452"/>
      <c r="AA345" s="2452"/>
      <c r="AB345" s="2452"/>
      <c r="AC345" s="2452"/>
      <c r="AD345" s="2452"/>
      <c r="AE345" s="2452"/>
      <c r="AF345" s="2452"/>
      <c r="AG345" s="2452"/>
      <c r="AH345" s="2452"/>
      <c r="AI345" s="2452"/>
      <c r="AJ345" s="2452"/>
      <c r="AK345" s="603"/>
      <c r="AL345" s="603"/>
      <c r="AM345" s="603"/>
      <c r="AN345" s="597"/>
      <c r="AQ345" s="570"/>
    </row>
    <row r="346" spans="1:44" s="550" customFormat="1" ht="12.75" customHeight="1">
      <c r="A346" s="603"/>
      <c r="B346" s="611"/>
      <c r="C346" s="2452"/>
      <c r="D346" s="2452"/>
      <c r="E346" s="2452"/>
      <c r="F346" s="2452"/>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2"/>
      <c r="AE346" s="2452"/>
      <c r="AF346" s="2452"/>
      <c r="AG346" s="2452"/>
      <c r="AH346" s="2452"/>
      <c r="AI346" s="2452"/>
      <c r="AJ346" s="2452"/>
      <c r="AK346" s="603"/>
      <c r="AL346" s="603"/>
      <c r="AM346" s="603"/>
      <c r="AN346" s="597"/>
      <c r="AQ346" s="570"/>
    </row>
    <row r="347" spans="1:44" s="550" customFormat="1" ht="12.45" customHeight="1">
      <c r="A347" s="603"/>
      <c r="B347" s="611"/>
      <c r="C347" s="2452"/>
      <c r="D347" s="2452"/>
      <c r="E347" s="2452"/>
      <c r="F347" s="2452"/>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2"/>
      <c r="AE347" s="2452"/>
      <c r="AF347" s="2452"/>
      <c r="AG347" s="2452"/>
      <c r="AH347" s="2452"/>
      <c r="AI347" s="2452"/>
      <c r="AJ347" s="2452"/>
      <c r="AK347" s="603"/>
      <c r="AL347" s="603"/>
      <c r="AM347" s="603"/>
      <c r="AN347" s="597"/>
      <c r="AQ347" s="570"/>
      <c r="AR347" s="570"/>
    </row>
    <row r="348" spans="1:44" s="550" customFormat="1" ht="45.75" customHeight="1">
      <c r="A348" s="603"/>
      <c r="B348" s="611"/>
      <c r="C348" s="2452" t="s">
        <v>2093</v>
      </c>
      <c r="D348" s="2452"/>
      <c r="E348" s="2452"/>
      <c r="F348" s="2452"/>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2"/>
      <c r="AE348" s="2452"/>
      <c r="AF348" s="2452"/>
      <c r="AG348" s="2452"/>
      <c r="AH348" s="2452"/>
      <c r="AI348" s="2452"/>
      <c r="AJ348" s="2452"/>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52" t="s">
        <v>2208</v>
      </c>
      <c r="D350" s="2452"/>
      <c r="E350" s="2452"/>
      <c r="F350" s="2452"/>
      <c r="G350" s="2452"/>
      <c r="H350" s="2452"/>
      <c r="I350" s="2452"/>
      <c r="J350" s="2452"/>
      <c r="K350" s="2452"/>
      <c r="L350" s="2452"/>
      <c r="M350" s="2452"/>
      <c r="N350" s="2452"/>
      <c r="O350" s="2452"/>
      <c r="P350" s="2452"/>
      <c r="Q350" s="2452"/>
      <c r="R350" s="2452"/>
      <c r="S350" s="2452"/>
      <c r="T350" s="2452"/>
      <c r="U350" s="2452"/>
      <c r="V350" s="2452"/>
      <c r="W350" s="2452"/>
      <c r="X350" s="2452"/>
      <c r="Y350" s="2452"/>
      <c r="Z350" s="2452"/>
      <c r="AA350" s="2452"/>
      <c r="AB350" s="2452"/>
      <c r="AC350" s="2452"/>
      <c r="AD350" s="2452"/>
      <c r="AE350" s="2452"/>
      <c r="AF350" s="2452"/>
      <c r="AG350" s="2452"/>
      <c r="AH350" s="2452"/>
      <c r="AI350" s="2452"/>
      <c r="AJ350" s="2452"/>
      <c r="AK350" s="603"/>
      <c r="AL350" s="603"/>
      <c r="AM350" s="603"/>
      <c r="AN350" s="597"/>
      <c r="AQ350" s="570"/>
      <c r="AR350" s="570"/>
    </row>
    <row r="351" spans="1:44" s="550" customFormat="1" ht="30" customHeight="1">
      <c r="A351" s="603"/>
      <c r="B351" s="611"/>
      <c r="C351" s="2452"/>
      <c r="D351" s="2452"/>
      <c r="E351" s="2452"/>
      <c r="F351" s="2452"/>
      <c r="G351" s="2452"/>
      <c r="H351" s="2452"/>
      <c r="I351" s="2452"/>
      <c r="J351" s="2452"/>
      <c r="K351" s="2452"/>
      <c r="L351" s="2452"/>
      <c r="M351" s="2452"/>
      <c r="N351" s="2452"/>
      <c r="O351" s="2452"/>
      <c r="P351" s="2452"/>
      <c r="Q351" s="2452"/>
      <c r="R351" s="2452"/>
      <c r="S351" s="2452"/>
      <c r="T351" s="2452"/>
      <c r="U351" s="2452"/>
      <c r="V351" s="2452"/>
      <c r="W351" s="2452"/>
      <c r="X351" s="2452"/>
      <c r="Y351" s="2452"/>
      <c r="Z351" s="2452"/>
      <c r="AA351" s="2452"/>
      <c r="AB351" s="2452"/>
      <c r="AC351" s="2452"/>
      <c r="AD351" s="2452"/>
      <c r="AE351" s="2452"/>
      <c r="AF351" s="2452"/>
      <c r="AG351" s="2452"/>
      <c r="AH351" s="2452"/>
      <c r="AI351" s="2452"/>
      <c r="AJ351" s="2452"/>
      <c r="AK351" s="603"/>
      <c r="AL351" s="603"/>
      <c r="AM351" s="603"/>
      <c r="AN351" s="597"/>
      <c r="AR351" s="570"/>
    </row>
    <row r="352" spans="1:44" s="550" customFormat="1" ht="12.75" customHeight="1">
      <c r="A352" s="603"/>
      <c r="B352" s="611"/>
      <c r="C352" s="2452"/>
      <c r="D352" s="2452"/>
      <c r="E352" s="2452"/>
      <c r="F352" s="2452"/>
      <c r="G352" s="2452"/>
      <c r="H352" s="2452"/>
      <c r="I352" s="2452"/>
      <c r="J352" s="2452"/>
      <c r="K352" s="2452"/>
      <c r="L352" s="2452"/>
      <c r="M352" s="2452"/>
      <c r="N352" s="2452"/>
      <c r="O352" s="2452"/>
      <c r="P352" s="2452"/>
      <c r="Q352" s="2452"/>
      <c r="R352" s="2452"/>
      <c r="S352" s="2452"/>
      <c r="T352" s="2452"/>
      <c r="U352" s="2452"/>
      <c r="V352" s="2452"/>
      <c r="W352" s="2452"/>
      <c r="X352" s="2452"/>
      <c r="Y352" s="2452"/>
      <c r="Z352" s="2452"/>
      <c r="AA352" s="2452"/>
      <c r="AB352" s="2452"/>
      <c r="AC352" s="2452"/>
      <c r="AD352" s="2452"/>
      <c r="AE352" s="2452"/>
      <c r="AF352" s="2452"/>
      <c r="AG352" s="2452"/>
      <c r="AH352" s="2452"/>
      <c r="AI352" s="2452"/>
      <c r="AJ352" s="2452"/>
      <c r="AK352" s="603"/>
      <c r="AL352" s="603"/>
      <c r="AM352" s="603"/>
      <c r="AN352" s="597"/>
      <c r="AR352" s="570"/>
    </row>
    <row r="353" spans="1:46" s="550" customFormat="1" ht="12.75" customHeight="1">
      <c r="A353" s="603"/>
      <c r="B353" s="611"/>
      <c r="C353" s="2452" t="s">
        <v>1456</v>
      </c>
      <c r="D353" s="2452"/>
      <c r="E353" s="2452"/>
      <c r="F353" s="2452"/>
      <c r="G353" s="2452"/>
      <c r="H353" s="2452"/>
      <c r="I353" s="2452"/>
      <c r="J353" s="2452"/>
      <c r="K353" s="2452"/>
      <c r="L353" s="2452"/>
      <c r="M353" s="2452"/>
      <c r="N353" s="2452"/>
      <c r="O353" s="2452"/>
      <c r="P353" s="2452"/>
      <c r="Q353" s="2452"/>
      <c r="R353" s="2452"/>
      <c r="S353" s="2452"/>
      <c r="T353" s="2452"/>
      <c r="U353" s="2452"/>
      <c r="V353" s="2452"/>
      <c r="W353" s="2452"/>
      <c r="X353" s="2452"/>
      <c r="Y353" s="2452"/>
      <c r="Z353" s="2452"/>
      <c r="AA353" s="2452"/>
      <c r="AB353" s="2452"/>
      <c r="AC353" s="2452"/>
      <c r="AD353" s="2452"/>
      <c r="AE353" s="2452"/>
      <c r="AF353" s="2452"/>
      <c r="AG353" s="2452"/>
      <c r="AH353" s="2452"/>
      <c r="AI353" s="2452"/>
      <c r="AJ353" s="2452"/>
      <c r="AK353" s="603"/>
      <c r="AL353" s="603"/>
      <c r="AM353" s="603"/>
      <c r="AN353" s="597"/>
      <c r="AQ353" s="570"/>
      <c r="AR353" s="570"/>
    </row>
    <row r="354" spans="1:46" s="550" customFormat="1" ht="12.75" customHeight="1">
      <c r="A354" s="603"/>
      <c r="B354" s="611"/>
      <c r="C354" s="2452"/>
      <c r="D354" s="2452"/>
      <c r="E354" s="2452"/>
      <c r="F354" s="2452"/>
      <c r="G354" s="2452"/>
      <c r="H354" s="2452"/>
      <c r="I354" s="2452"/>
      <c r="J354" s="2452"/>
      <c r="K354" s="2452"/>
      <c r="L354" s="2452"/>
      <c r="M354" s="2452"/>
      <c r="N354" s="2452"/>
      <c r="O354" s="2452"/>
      <c r="P354" s="2452"/>
      <c r="Q354" s="2452"/>
      <c r="R354" s="2452"/>
      <c r="S354" s="2452"/>
      <c r="T354" s="2452"/>
      <c r="U354" s="2452"/>
      <c r="V354" s="2452"/>
      <c r="W354" s="2452"/>
      <c r="X354" s="2452"/>
      <c r="Y354" s="2452"/>
      <c r="Z354" s="2452"/>
      <c r="AA354" s="2452"/>
      <c r="AB354" s="2452"/>
      <c r="AC354" s="2452"/>
      <c r="AD354" s="2452"/>
      <c r="AE354" s="2452"/>
      <c r="AF354" s="2452"/>
      <c r="AG354" s="2452"/>
      <c r="AH354" s="2452"/>
      <c r="AI354" s="2452"/>
      <c r="AJ354" s="2452"/>
      <c r="AK354" s="603"/>
      <c r="AL354" s="603"/>
      <c r="AM354" s="603"/>
      <c r="AN354" s="597"/>
      <c r="AQ354" s="570"/>
      <c r="AR354" s="570"/>
    </row>
    <row r="355" spans="1:46" s="550" customFormat="1" ht="13.2" customHeight="1">
      <c r="A355" s="603"/>
      <c r="B355" s="611"/>
      <c r="C355" s="2452"/>
      <c r="D355" s="2452"/>
      <c r="E355" s="2452"/>
      <c r="F355" s="2452"/>
      <c r="G355" s="2452"/>
      <c r="H355" s="2452"/>
      <c r="I355" s="2452"/>
      <c r="J355" s="2452"/>
      <c r="K355" s="2452"/>
      <c r="L355" s="2452"/>
      <c r="M355" s="2452"/>
      <c r="N355" s="2452"/>
      <c r="O355" s="2452"/>
      <c r="P355" s="2452"/>
      <c r="Q355" s="2452"/>
      <c r="R355" s="2452"/>
      <c r="S355" s="2452"/>
      <c r="T355" s="2452"/>
      <c r="U355" s="2452"/>
      <c r="V355" s="2452"/>
      <c r="W355" s="2452"/>
      <c r="X355" s="2452"/>
      <c r="Y355" s="2452"/>
      <c r="Z355" s="2452"/>
      <c r="AA355" s="2452"/>
      <c r="AB355" s="2452"/>
      <c r="AC355" s="2452"/>
      <c r="AD355" s="2452"/>
      <c r="AE355" s="2452"/>
      <c r="AF355" s="2452"/>
      <c r="AG355" s="2452"/>
      <c r="AH355" s="2452"/>
      <c r="AI355" s="2452"/>
      <c r="AJ355" s="2452"/>
      <c r="AK355" s="603"/>
      <c r="AL355" s="603"/>
      <c r="AM355" s="603"/>
      <c r="AN355" s="597"/>
      <c r="AQ355" s="570"/>
      <c r="AR355" s="570"/>
    </row>
    <row r="356" spans="1:46" s="550" customFormat="1" ht="12.75" customHeight="1">
      <c r="A356" s="603"/>
      <c r="B356" s="611"/>
      <c r="C356" s="2452"/>
      <c r="D356" s="2452"/>
      <c r="E356" s="2452"/>
      <c r="F356" s="2452"/>
      <c r="G356" s="2452"/>
      <c r="H356" s="2452"/>
      <c r="I356" s="2452"/>
      <c r="J356" s="2452"/>
      <c r="K356" s="2452"/>
      <c r="L356" s="2452"/>
      <c r="M356" s="2452"/>
      <c r="N356" s="2452"/>
      <c r="O356" s="2452"/>
      <c r="P356" s="2452"/>
      <c r="Q356" s="2452"/>
      <c r="R356" s="2452"/>
      <c r="S356" s="2452"/>
      <c r="T356" s="2452"/>
      <c r="U356" s="2452"/>
      <c r="V356" s="2452"/>
      <c r="W356" s="2452"/>
      <c r="X356" s="2452"/>
      <c r="Y356" s="2452"/>
      <c r="Z356" s="2452"/>
      <c r="AA356" s="2452"/>
      <c r="AB356" s="2452"/>
      <c r="AC356" s="2452"/>
      <c r="AD356" s="2452"/>
      <c r="AE356" s="2452"/>
      <c r="AF356" s="2452"/>
      <c r="AG356" s="2452"/>
      <c r="AH356" s="2452"/>
      <c r="AI356" s="2452"/>
      <c r="AJ356" s="2452"/>
      <c r="AK356" s="603"/>
      <c r="AL356" s="603"/>
      <c r="AM356" s="603"/>
      <c r="AN356" s="597"/>
      <c r="AO356" s="694"/>
      <c r="AP356" s="694"/>
      <c r="AQ356" s="570"/>
    </row>
    <row r="357" spans="1:46" s="550" customFormat="1" ht="11.85" customHeight="1">
      <c r="A357" s="603"/>
      <c r="B357" s="611"/>
      <c r="C357" s="2452"/>
      <c r="D357" s="2452"/>
      <c r="E357" s="2452"/>
      <c r="F357" s="2452"/>
      <c r="G357" s="2452"/>
      <c r="H357" s="2452"/>
      <c r="I357" s="2452"/>
      <c r="J357" s="2452"/>
      <c r="K357" s="2452"/>
      <c r="L357" s="2452"/>
      <c r="M357" s="2452"/>
      <c r="N357" s="2452"/>
      <c r="O357" s="2452"/>
      <c r="P357" s="2452"/>
      <c r="Q357" s="2452"/>
      <c r="R357" s="2452"/>
      <c r="S357" s="2452"/>
      <c r="T357" s="2452"/>
      <c r="U357" s="2452"/>
      <c r="V357" s="2452"/>
      <c r="W357" s="2452"/>
      <c r="X357" s="2452"/>
      <c r="Y357" s="2452"/>
      <c r="Z357" s="2452"/>
      <c r="AA357" s="2452"/>
      <c r="AB357" s="2452"/>
      <c r="AC357" s="2452"/>
      <c r="AD357" s="2452"/>
      <c r="AE357" s="2452"/>
      <c r="AF357" s="2452"/>
      <c r="AG357" s="2452"/>
      <c r="AH357" s="2452"/>
      <c r="AI357" s="2452"/>
      <c r="AJ357" s="2452"/>
      <c r="AK357" s="603"/>
      <c r="AL357" s="603"/>
      <c r="AM357" s="603"/>
      <c r="AN357" s="597"/>
      <c r="AO357" s="695" t="s">
        <v>112</v>
      </c>
      <c r="AP357" s="696">
        <f>IF(C381="Yes",5,0)</f>
        <v>0</v>
      </c>
      <c r="AS357" s="539" t="s">
        <v>1457</v>
      </c>
    </row>
    <row r="358" spans="1:46" s="550" customFormat="1" ht="12.75" customHeight="1">
      <c r="A358" s="603"/>
      <c r="B358" s="611"/>
      <c r="C358" s="2452"/>
      <c r="D358" s="2452"/>
      <c r="E358" s="2452"/>
      <c r="F358" s="2452"/>
      <c r="G358" s="2452"/>
      <c r="H358" s="2452"/>
      <c r="I358" s="2452"/>
      <c r="J358" s="2452"/>
      <c r="K358" s="2452"/>
      <c r="L358" s="2452"/>
      <c r="M358" s="2452"/>
      <c r="N358" s="2452"/>
      <c r="O358" s="2452"/>
      <c r="P358" s="2452"/>
      <c r="Q358" s="2452"/>
      <c r="R358" s="2452"/>
      <c r="S358" s="2452"/>
      <c r="T358" s="2452"/>
      <c r="U358" s="2452"/>
      <c r="V358" s="2452"/>
      <c r="W358" s="2452"/>
      <c r="X358" s="2452"/>
      <c r="Y358" s="2452"/>
      <c r="Z358" s="2452"/>
      <c r="AA358" s="2452"/>
      <c r="AB358" s="2452"/>
      <c r="AC358" s="2452"/>
      <c r="AD358" s="2452"/>
      <c r="AE358" s="2452"/>
      <c r="AF358" s="2452"/>
      <c r="AG358" s="2452"/>
      <c r="AH358" s="2452"/>
      <c r="AI358" s="2452"/>
      <c r="AJ358" s="2452"/>
      <c r="AK358" s="603"/>
      <c r="AL358" s="603"/>
      <c r="AM358" s="603"/>
      <c r="AN358" s="597"/>
      <c r="AO358" s="695" t="s">
        <v>113</v>
      </c>
      <c r="AP358" s="696">
        <f>IF(C389="Yes",5,0)</f>
        <v>0</v>
      </c>
      <c r="AS358" s="2418">
        <f>IF(Application!D211="Non-Targeted",(SUM(AQ366+AQ375)),AS362)</f>
        <v>10</v>
      </c>
      <c r="AT358" s="2418"/>
    </row>
    <row r="359" spans="1:46" s="550" customFormat="1" ht="12.75" customHeight="1">
      <c r="A359" s="603"/>
      <c r="B359" s="611"/>
      <c r="C359" s="2452"/>
      <c r="D359" s="2452"/>
      <c r="E359" s="2452"/>
      <c r="F359" s="2452"/>
      <c r="G359" s="2452"/>
      <c r="H359" s="2452"/>
      <c r="I359" s="2452"/>
      <c r="J359" s="2452"/>
      <c r="K359" s="2452"/>
      <c r="L359" s="2452"/>
      <c r="M359" s="2452"/>
      <c r="N359" s="2452"/>
      <c r="O359" s="2452"/>
      <c r="P359" s="2452"/>
      <c r="Q359" s="2452"/>
      <c r="R359" s="2452"/>
      <c r="S359" s="2452"/>
      <c r="T359" s="2452"/>
      <c r="U359" s="2452"/>
      <c r="V359" s="2452"/>
      <c r="W359" s="2452"/>
      <c r="X359" s="2452"/>
      <c r="Y359" s="2452"/>
      <c r="Z359" s="2452"/>
      <c r="AA359" s="2452"/>
      <c r="AB359" s="2452"/>
      <c r="AC359" s="2452"/>
      <c r="AD359" s="2452"/>
      <c r="AE359" s="2452"/>
      <c r="AF359" s="2452"/>
      <c r="AG359" s="2452"/>
      <c r="AH359" s="2452"/>
      <c r="AI359" s="2452"/>
      <c r="AJ359" s="2452"/>
      <c r="AK359" s="603"/>
      <c r="AL359" s="603"/>
      <c r="AM359" s="603"/>
      <c r="AN359" s="597"/>
      <c r="AO359" s="695" t="s">
        <v>119</v>
      </c>
      <c r="AP359" s="696">
        <f>IF(C397="Yes",7,0)</f>
        <v>7</v>
      </c>
      <c r="AS359" s="539" t="s">
        <v>1458</v>
      </c>
    </row>
    <row r="360" spans="1:46" s="550" customFormat="1" ht="12.75" customHeight="1">
      <c r="A360" s="603"/>
      <c r="B360" s="611"/>
      <c r="C360" s="2452"/>
      <c r="D360" s="2452"/>
      <c r="E360" s="2452"/>
      <c r="F360" s="2452"/>
      <c r="G360" s="2452"/>
      <c r="H360" s="2452"/>
      <c r="I360" s="2452"/>
      <c r="J360" s="2452"/>
      <c r="K360" s="2452"/>
      <c r="L360" s="2452"/>
      <c r="M360" s="2452"/>
      <c r="N360" s="2452"/>
      <c r="O360" s="2452"/>
      <c r="P360" s="2452"/>
      <c r="Q360" s="2452"/>
      <c r="R360" s="2452"/>
      <c r="S360" s="2452"/>
      <c r="T360" s="2452"/>
      <c r="U360" s="2452"/>
      <c r="V360" s="2452"/>
      <c r="W360" s="2452"/>
      <c r="X360" s="2452"/>
      <c r="Y360" s="2452"/>
      <c r="Z360" s="2452"/>
      <c r="AA360" s="2452"/>
      <c r="AB360" s="2452"/>
      <c r="AC360" s="2452"/>
      <c r="AD360" s="2452"/>
      <c r="AE360" s="2452"/>
      <c r="AF360" s="2452"/>
      <c r="AG360" s="2452"/>
      <c r="AH360" s="2452"/>
      <c r="AI360" s="2452"/>
      <c r="AJ360" s="2452"/>
      <c r="AK360" s="603"/>
      <c r="AL360" s="603"/>
      <c r="AM360" s="603"/>
      <c r="AN360" s="597"/>
      <c r="AO360" s="597"/>
      <c r="AP360" s="696">
        <f>IF(C399="Yes",5,0)</f>
        <v>0</v>
      </c>
      <c r="AS360" s="2418">
        <f>IF(AND(AQ366&gt;0,AQ375&gt;0),(AQ366+AQ375)/2,0)</f>
        <v>0</v>
      </c>
      <c r="AT360" s="2418"/>
    </row>
    <row r="361" spans="1:46" s="550" customFormat="1" ht="12.75" customHeight="1">
      <c r="A361" s="603"/>
      <c r="B361" s="611"/>
      <c r="C361" s="2452"/>
      <c r="D361" s="2452"/>
      <c r="E361" s="2452"/>
      <c r="F361" s="2452"/>
      <c r="G361" s="2452"/>
      <c r="H361" s="2452"/>
      <c r="I361" s="2452"/>
      <c r="J361" s="2452"/>
      <c r="K361" s="2452"/>
      <c r="L361" s="2452"/>
      <c r="M361" s="2452"/>
      <c r="N361" s="2452"/>
      <c r="O361" s="2452"/>
      <c r="P361" s="2452"/>
      <c r="Q361" s="2452"/>
      <c r="R361" s="2452"/>
      <c r="S361" s="2452"/>
      <c r="T361" s="2452"/>
      <c r="U361" s="2452"/>
      <c r="V361" s="2452"/>
      <c r="W361" s="2452"/>
      <c r="X361" s="2452"/>
      <c r="Y361" s="2452"/>
      <c r="Z361" s="2452"/>
      <c r="AA361" s="2452"/>
      <c r="AB361" s="2452"/>
      <c r="AC361" s="2452"/>
      <c r="AD361" s="2452"/>
      <c r="AE361" s="2452"/>
      <c r="AF361" s="2452"/>
      <c r="AG361" s="2452"/>
      <c r="AH361" s="2452"/>
      <c r="AI361" s="2452"/>
      <c r="AJ361" s="2452"/>
      <c r="AK361" s="603"/>
      <c r="AL361" s="603"/>
      <c r="AM361" s="603"/>
      <c r="AN361" s="597"/>
      <c r="AO361" s="695" t="s">
        <v>582</v>
      </c>
      <c r="AP361" s="696">
        <f>IF(C407="Yes",5,0)</f>
        <v>0</v>
      </c>
      <c r="AS361" s="539" t="s">
        <v>1879</v>
      </c>
    </row>
    <row r="362" spans="1:46" s="550" customFormat="1" ht="12.75" customHeight="1">
      <c r="A362" s="603"/>
      <c r="B362" s="611"/>
      <c r="C362" s="2546" t="s">
        <v>2232</v>
      </c>
      <c r="D362" s="2546"/>
      <c r="E362" s="2546"/>
      <c r="F362" s="2546"/>
      <c r="G362" s="2546"/>
      <c r="H362" s="2546"/>
      <c r="I362" s="2546"/>
      <c r="J362" s="2546"/>
      <c r="K362" s="2546"/>
      <c r="L362" s="2546"/>
      <c r="M362" s="2546"/>
      <c r="N362" s="2546"/>
      <c r="O362" s="2546"/>
      <c r="P362" s="2546"/>
      <c r="Q362" s="2546"/>
      <c r="R362" s="2546"/>
      <c r="S362" s="2546"/>
      <c r="T362" s="2546"/>
      <c r="U362" s="2546"/>
      <c r="V362" s="2546"/>
      <c r="W362" s="2546"/>
      <c r="X362" s="2546"/>
      <c r="Y362" s="2546"/>
      <c r="Z362" s="2546"/>
      <c r="AA362" s="2546"/>
      <c r="AB362" s="2546"/>
      <c r="AC362" s="2546"/>
      <c r="AD362" s="2546"/>
      <c r="AE362" s="2546"/>
      <c r="AF362" s="2546"/>
      <c r="AG362" s="2546"/>
      <c r="AH362" s="2546"/>
      <c r="AI362" s="2546"/>
      <c r="AJ362" s="2546"/>
      <c r="AK362" s="603"/>
      <c r="AL362" s="603"/>
      <c r="AM362" s="603"/>
      <c r="AN362" s="597"/>
      <c r="AO362" s="597"/>
      <c r="AP362" s="696">
        <f>IF(C409="Yes",3,0)</f>
        <v>3</v>
      </c>
      <c r="AS362" s="2418">
        <f>IF(AQ366=0,AQ375,AQ366)</f>
        <v>10</v>
      </c>
      <c r="AT362" s="2418"/>
    </row>
    <row r="363" spans="1:46" s="550" customFormat="1" ht="12.75" customHeight="1">
      <c r="A363" s="603"/>
      <c r="B363" s="611"/>
      <c r="C363" s="2546"/>
      <c r="D363" s="2546"/>
      <c r="E363" s="2546"/>
      <c r="F363" s="2546"/>
      <c r="G363" s="2546"/>
      <c r="H363" s="2546"/>
      <c r="I363" s="2546"/>
      <c r="J363" s="2546"/>
      <c r="K363" s="2546"/>
      <c r="L363" s="2546"/>
      <c r="M363" s="2546"/>
      <c r="N363" s="2546"/>
      <c r="O363" s="2546"/>
      <c r="P363" s="2546"/>
      <c r="Q363" s="2546"/>
      <c r="R363" s="2546"/>
      <c r="S363" s="2546"/>
      <c r="T363" s="2546"/>
      <c r="U363" s="2546"/>
      <c r="V363" s="2546"/>
      <c r="W363" s="2546"/>
      <c r="X363" s="2546"/>
      <c r="Y363" s="2546"/>
      <c r="Z363" s="2546"/>
      <c r="AA363" s="2546"/>
      <c r="AB363" s="2546"/>
      <c r="AC363" s="2546"/>
      <c r="AD363" s="2546"/>
      <c r="AE363" s="2546"/>
      <c r="AF363" s="2546"/>
      <c r="AG363" s="2546"/>
      <c r="AH363" s="2546"/>
      <c r="AI363" s="2546"/>
      <c r="AJ363" s="2546"/>
      <c r="AK363" s="603"/>
      <c r="AL363" s="603"/>
      <c r="AM363" s="603"/>
      <c r="AN363" s="597"/>
      <c r="AO363" s="695" t="s">
        <v>764</v>
      </c>
      <c r="AP363" s="696">
        <f>IF(C412="Yes",5,0)</f>
        <v>0</v>
      </c>
    </row>
    <row r="364" spans="1:46" s="550" customFormat="1" ht="12.75" customHeight="1">
      <c r="A364" s="603"/>
      <c r="B364" s="611"/>
      <c r="C364" s="2546"/>
      <c r="D364" s="2546"/>
      <c r="E364" s="2546"/>
      <c r="F364" s="2546"/>
      <c r="G364" s="2546"/>
      <c r="H364" s="2546"/>
      <c r="I364" s="2546"/>
      <c r="J364" s="2546"/>
      <c r="K364" s="2546"/>
      <c r="L364" s="2546"/>
      <c r="M364" s="2546"/>
      <c r="N364" s="2546"/>
      <c r="O364" s="2546"/>
      <c r="P364" s="2546"/>
      <c r="Q364" s="2546"/>
      <c r="R364" s="2546"/>
      <c r="S364" s="2546"/>
      <c r="T364" s="2546"/>
      <c r="U364" s="2546"/>
      <c r="V364" s="2546"/>
      <c r="W364" s="2546"/>
      <c r="X364" s="2546"/>
      <c r="Y364" s="2546"/>
      <c r="Z364" s="2546"/>
      <c r="AA364" s="2546"/>
      <c r="AB364" s="2546"/>
      <c r="AC364" s="2546"/>
      <c r="AD364" s="2546"/>
      <c r="AE364" s="2546"/>
      <c r="AF364" s="2546"/>
      <c r="AG364" s="2546"/>
      <c r="AH364" s="2546"/>
      <c r="AI364" s="2546"/>
      <c r="AJ364" s="2546"/>
      <c r="AK364" s="603"/>
      <c r="AL364" s="603"/>
      <c r="AM364" s="603"/>
      <c r="AN364" s="597"/>
      <c r="AO364" s="695" t="s">
        <v>585</v>
      </c>
      <c r="AP364" s="696">
        <f>IF(C421="Yes",5,0)</f>
        <v>0</v>
      </c>
    </row>
    <row r="365" spans="1:46" s="550" customFormat="1" ht="11.85" customHeight="1">
      <c r="A365" s="603"/>
      <c r="B365" s="611"/>
      <c r="C365" s="2546"/>
      <c r="D365" s="2546"/>
      <c r="E365" s="2546"/>
      <c r="F365" s="2546"/>
      <c r="G365" s="2546"/>
      <c r="H365" s="2546"/>
      <c r="I365" s="2546"/>
      <c r="J365" s="2546"/>
      <c r="K365" s="2546"/>
      <c r="L365" s="2546"/>
      <c r="M365" s="2546"/>
      <c r="N365" s="2546"/>
      <c r="O365" s="2546"/>
      <c r="P365" s="2546"/>
      <c r="Q365" s="2546"/>
      <c r="R365" s="2546"/>
      <c r="S365" s="2546"/>
      <c r="T365" s="2546"/>
      <c r="U365" s="2546"/>
      <c r="V365" s="2546"/>
      <c r="W365" s="2546"/>
      <c r="X365" s="2546"/>
      <c r="Y365" s="2546"/>
      <c r="Z365" s="2546"/>
      <c r="AA365" s="2546"/>
      <c r="AB365" s="2546"/>
      <c r="AC365" s="2546"/>
      <c r="AD365" s="2546"/>
      <c r="AE365" s="2546"/>
      <c r="AF365" s="2546"/>
      <c r="AG365" s="2546"/>
      <c r="AH365" s="2546"/>
      <c r="AI365" s="2546"/>
      <c r="AJ365" s="2546"/>
      <c r="AK365" s="603"/>
      <c r="AL365" s="603"/>
      <c r="AM365" s="603"/>
      <c r="AN365" s="597"/>
      <c r="AO365" s="697"/>
      <c r="AP365" s="698">
        <f>IF(C423="Yes",3,0)</f>
        <v>0</v>
      </c>
    </row>
    <row r="366" spans="1:46" s="550" customFormat="1" ht="12.45" customHeight="1">
      <c r="A366" s="603"/>
      <c r="B366" s="611"/>
      <c r="C366" s="2546"/>
      <c r="D366" s="2546"/>
      <c r="E366" s="2546"/>
      <c r="F366" s="2546"/>
      <c r="G366" s="2546"/>
      <c r="H366" s="2546"/>
      <c r="I366" s="2546"/>
      <c r="J366" s="2546"/>
      <c r="K366" s="2546"/>
      <c r="L366" s="2546"/>
      <c r="M366" s="2546"/>
      <c r="N366" s="2546"/>
      <c r="O366" s="2546"/>
      <c r="P366" s="2546"/>
      <c r="Q366" s="2546"/>
      <c r="R366" s="2546"/>
      <c r="S366" s="2546"/>
      <c r="T366" s="2546"/>
      <c r="U366" s="2546"/>
      <c r="V366" s="2546"/>
      <c r="W366" s="2546"/>
      <c r="X366" s="2546"/>
      <c r="Y366" s="2546"/>
      <c r="Z366" s="2546"/>
      <c r="AA366" s="2546"/>
      <c r="AB366" s="2546"/>
      <c r="AC366" s="2546"/>
      <c r="AD366" s="2546"/>
      <c r="AE366" s="2546"/>
      <c r="AF366" s="2546"/>
      <c r="AG366" s="2546"/>
      <c r="AH366" s="2546"/>
      <c r="AI366" s="2546"/>
      <c r="AJ366" s="2546"/>
      <c r="AK366" s="603"/>
      <c r="AL366" s="603"/>
      <c r="AM366" s="603"/>
      <c r="AN366" s="597"/>
      <c r="AO366" s="699" t="s">
        <v>227</v>
      </c>
      <c r="AP366" s="700">
        <f>SUM(AP357:AP365)</f>
        <v>10</v>
      </c>
      <c r="AQ366" s="2455">
        <f>IF(AP366&gt;0,AP366,0)</f>
        <v>10</v>
      </c>
      <c r="AR366" s="2455"/>
    </row>
    <row r="367" spans="1:46" s="550" customFormat="1" ht="12.75" customHeight="1">
      <c r="A367" s="603"/>
      <c r="B367" s="611"/>
      <c r="C367" s="2546"/>
      <c r="D367" s="2546"/>
      <c r="E367" s="2546"/>
      <c r="F367" s="2546"/>
      <c r="G367" s="2546"/>
      <c r="H367" s="2546"/>
      <c r="I367" s="2546"/>
      <c r="J367" s="2546"/>
      <c r="K367" s="2546"/>
      <c r="L367" s="2546"/>
      <c r="M367" s="2546"/>
      <c r="N367" s="2546"/>
      <c r="O367" s="2546"/>
      <c r="P367" s="2546"/>
      <c r="Q367" s="2546"/>
      <c r="R367" s="2546"/>
      <c r="S367" s="2546"/>
      <c r="T367" s="2546"/>
      <c r="U367" s="2546"/>
      <c r="V367" s="2546"/>
      <c r="W367" s="2546"/>
      <c r="X367" s="2546"/>
      <c r="Y367" s="2546"/>
      <c r="Z367" s="2546"/>
      <c r="AA367" s="2546"/>
      <c r="AB367" s="2546"/>
      <c r="AC367" s="2546"/>
      <c r="AD367" s="2546"/>
      <c r="AE367" s="2546"/>
      <c r="AF367" s="2546"/>
      <c r="AG367" s="2546"/>
      <c r="AH367" s="2546"/>
      <c r="AI367" s="2546"/>
      <c r="AJ367" s="254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52" t="s">
        <v>1459</v>
      </c>
      <c r="D369" s="2452"/>
      <c r="E369" s="2452"/>
      <c r="F369" s="2452"/>
      <c r="G369" s="2452"/>
      <c r="H369" s="2452"/>
      <c r="I369" s="2452"/>
      <c r="J369" s="2452"/>
      <c r="K369" s="2452"/>
      <c r="L369" s="2452"/>
      <c r="M369" s="2452"/>
      <c r="N369" s="2452"/>
      <c r="O369" s="2452"/>
      <c r="P369" s="2452"/>
      <c r="Q369" s="2452"/>
      <c r="R369" s="2452"/>
      <c r="S369" s="2452"/>
      <c r="T369" s="2452"/>
      <c r="U369" s="2452"/>
      <c r="V369" s="2452"/>
      <c r="W369" s="2452"/>
      <c r="X369" s="2452"/>
      <c r="Y369" s="2452"/>
      <c r="Z369" s="2452"/>
      <c r="AA369" s="2452"/>
      <c r="AB369" s="2452"/>
      <c r="AC369" s="2452"/>
      <c r="AD369" s="2452"/>
      <c r="AE369" s="2452"/>
      <c r="AF369" s="2452"/>
      <c r="AG369" s="2452"/>
      <c r="AH369" s="2452"/>
      <c r="AI369" s="2452"/>
      <c r="AJ369" s="2452"/>
      <c r="AK369" s="603"/>
      <c r="AL369" s="603"/>
      <c r="AM369" s="603"/>
      <c r="AN369" s="597"/>
      <c r="AO369" s="695" t="s">
        <v>457</v>
      </c>
      <c r="AP369" s="696">
        <f>IF(C442="Yes",5,0)</f>
        <v>0</v>
      </c>
    </row>
    <row r="370" spans="1:81" s="550" customFormat="1" ht="12.75" customHeight="1">
      <c r="A370" s="603"/>
      <c r="B370" s="611"/>
      <c r="C370" s="2452"/>
      <c r="D370" s="2452"/>
      <c r="E370" s="2452"/>
      <c r="F370" s="2452"/>
      <c r="G370" s="2452"/>
      <c r="H370" s="2452"/>
      <c r="I370" s="2452"/>
      <c r="J370" s="2452"/>
      <c r="K370" s="2452"/>
      <c r="L370" s="2452"/>
      <c r="M370" s="2452"/>
      <c r="N370" s="2452"/>
      <c r="O370" s="2452"/>
      <c r="P370" s="2452"/>
      <c r="Q370" s="2452"/>
      <c r="R370" s="2452"/>
      <c r="S370" s="2452"/>
      <c r="T370" s="2452"/>
      <c r="U370" s="2452"/>
      <c r="V370" s="2452"/>
      <c r="W370" s="2452"/>
      <c r="X370" s="2452"/>
      <c r="Y370" s="2452"/>
      <c r="Z370" s="2452"/>
      <c r="AA370" s="2452"/>
      <c r="AB370" s="2452"/>
      <c r="AC370" s="2452"/>
      <c r="AD370" s="2452"/>
      <c r="AE370" s="2452"/>
      <c r="AF370" s="2452"/>
      <c r="AG370" s="2452"/>
      <c r="AH370" s="2452"/>
      <c r="AI370" s="2452"/>
      <c r="AJ370" s="2452"/>
      <c r="AK370" s="603"/>
      <c r="AL370" s="603"/>
      <c r="AM370" s="603"/>
      <c r="AN370" s="597"/>
      <c r="AO370" s="695" t="s">
        <v>462</v>
      </c>
      <c r="AP370" s="696">
        <f>IF(C449="Yes",5,0)</f>
        <v>0</v>
      </c>
    </row>
    <row r="371" spans="1:81" s="550" customFormat="1" ht="68.099999999999994" customHeight="1">
      <c r="A371" s="603"/>
      <c r="B371" s="611"/>
      <c r="C371" s="2452"/>
      <c r="D371" s="2452"/>
      <c r="E371" s="2452"/>
      <c r="F371" s="2452"/>
      <c r="G371" s="2452"/>
      <c r="H371" s="2452"/>
      <c r="I371" s="2452"/>
      <c r="J371" s="2452"/>
      <c r="K371" s="2452"/>
      <c r="L371" s="2452"/>
      <c r="M371" s="2452"/>
      <c r="N371" s="2452"/>
      <c r="O371" s="2452"/>
      <c r="P371" s="2452"/>
      <c r="Q371" s="2452"/>
      <c r="R371" s="2452"/>
      <c r="S371" s="2452"/>
      <c r="T371" s="2452"/>
      <c r="U371" s="2452"/>
      <c r="V371" s="2452"/>
      <c r="W371" s="2452"/>
      <c r="X371" s="2452"/>
      <c r="Y371" s="2452"/>
      <c r="Z371" s="2452"/>
      <c r="AA371" s="2452"/>
      <c r="AB371" s="2452"/>
      <c r="AC371" s="2452"/>
      <c r="AD371" s="2452"/>
      <c r="AE371" s="2452"/>
      <c r="AF371" s="2452"/>
      <c r="AG371" s="2452"/>
      <c r="AH371" s="2452"/>
      <c r="AI371" s="2452"/>
      <c r="AJ371" s="2452"/>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53">
        <f>Application!DU802-U374</f>
        <v>68</v>
      </c>
      <c r="V373" s="2453"/>
      <c r="W373" s="245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54">
        <f>IF(Application!D211="SRO",Application!DU755,Application!AG756)</f>
        <v>13</v>
      </c>
      <c r="V374" s="2454"/>
      <c r="W374" s="245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55">
        <f>IF(AP375&gt;0,AP375,0)</f>
        <v>0</v>
      </c>
      <c r="AR375" s="245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46" t="s">
        <v>1461</v>
      </c>
      <c r="G377" s="2446"/>
      <c r="H377" s="2446"/>
      <c r="I377" s="2446"/>
      <c r="J377" s="2446"/>
      <c r="K377" s="2446"/>
      <c r="L377" s="2446"/>
      <c r="M377" s="2446"/>
      <c r="N377" s="2446"/>
      <c r="O377" s="2446"/>
      <c r="P377" s="2446"/>
      <c r="Q377" s="2446"/>
      <c r="R377" s="2446"/>
      <c r="S377" s="2446"/>
      <c r="T377" s="2446"/>
      <c r="U377" s="2446"/>
      <c r="V377" s="2446"/>
      <c r="W377" s="2446"/>
      <c r="X377" s="2446"/>
      <c r="Y377" s="2446"/>
      <c r="Z377" s="2446"/>
      <c r="AA377" s="2446"/>
      <c r="AB377" s="2446"/>
      <c r="AC377" s="2446"/>
      <c r="AD377" s="2446"/>
      <c r="AE377" s="2446"/>
      <c r="AF377" s="244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7"/>
      <c r="G378" s="2447"/>
      <c r="H378" s="2447"/>
      <c r="I378" s="2447"/>
      <c r="J378" s="2447"/>
      <c r="K378" s="2447"/>
      <c r="L378" s="2447"/>
      <c r="M378" s="2447"/>
      <c r="N378" s="2447"/>
      <c r="O378" s="2447"/>
      <c r="P378" s="2447"/>
      <c r="Q378" s="2447"/>
      <c r="R378" s="2447"/>
      <c r="S378" s="2447"/>
      <c r="T378" s="2447"/>
      <c r="U378" s="2447"/>
      <c r="V378" s="2447"/>
      <c r="W378" s="2447"/>
      <c r="X378" s="2447"/>
      <c r="Y378" s="2447"/>
      <c r="Z378" s="2447"/>
      <c r="AA378" s="2447"/>
      <c r="AB378" s="2447"/>
      <c r="AC378" s="2447"/>
      <c r="AD378" s="2447"/>
      <c r="AE378" s="2447"/>
      <c r="AF378" s="244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7"/>
      <c r="G379" s="2447"/>
      <c r="H379" s="2447"/>
      <c r="I379" s="2447"/>
      <c r="J379" s="2447"/>
      <c r="K379" s="2447"/>
      <c r="L379" s="2447"/>
      <c r="M379" s="2447"/>
      <c r="N379" s="2447"/>
      <c r="O379" s="2447"/>
      <c r="P379" s="2447"/>
      <c r="Q379" s="2447"/>
      <c r="R379" s="2447"/>
      <c r="S379" s="2447"/>
      <c r="T379" s="2447"/>
      <c r="U379" s="2447"/>
      <c r="V379" s="2447"/>
      <c r="W379" s="2447"/>
      <c r="X379" s="2447"/>
      <c r="Y379" s="2447"/>
      <c r="Z379" s="2447"/>
      <c r="AA379" s="2447"/>
      <c r="AB379" s="2447"/>
      <c r="AC379" s="2447"/>
      <c r="AD379" s="2447"/>
      <c r="AE379" s="2447"/>
      <c r="AF379" s="244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7"/>
      <c r="G380" s="2447"/>
      <c r="H380" s="2447"/>
      <c r="I380" s="2447"/>
      <c r="J380" s="2447"/>
      <c r="K380" s="2447"/>
      <c r="L380" s="2447"/>
      <c r="M380" s="2447"/>
      <c r="N380" s="2447"/>
      <c r="O380" s="2447"/>
      <c r="P380" s="2447"/>
      <c r="Q380" s="2447"/>
      <c r="R380" s="2447"/>
      <c r="S380" s="2447"/>
      <c r="T380" s="2447"/>
      <c r="U380" s="2447"/>
      <c r="V380" s="2447"/>
      <c r="W380" s="2447"/>
      <c r="X380" s="2447"/>
      <c r="Y380" s="2447"/>
      <c r="Z380" s="2447"/>
      <c r="AA380" s="2447"/>
      <c r="AB380" s="2447"/>
      <c r="AC380" s="2447"/>
      <c r="AD380" s="2447"/>
      <c r="AE380" s="2447"/>
      <c r="AF380" s="244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6" t="s">
        <v>592</v>
      </c>
      <c r="D381" s="245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8" t="s">
        <v>1463</v>
      </c>
      <c r="AG381" s="2458"/>
      <c r="AH381" s="2458"/>
      <c r="AI381" s="2458"/>
      <c r="AJ381" s="2458"/>
      <c r="AK381" s="2458"/>
      <c r="AL381" s="245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46" t="s">
        <v>1464</v>
      </c>
      <c r="G384" s="2446"/>
      <c r="H384" s="2446"/>
      <c r="I384" s="2446"/>
      <c r="J384" s="2446"/>
      <c r="K384" s="2446"/>
      <c r="L384" s="2446"/>
      <c r="M384" s="2446"/>
      <c r="N384" s="2446"/>
      <c r="O384" s="2446"/>
      <c r="P384" s="2446"/>
      <c r="Q384" s="2446"/>
      <c r="R384" s="2446"/>
      <c r="S384" s="2446"/>
      <c r="T384" s="2446"/>
      <c r="U384" s="2446"/>
      <c r="V384" s="2446"/>
      <c r="W384" s="2446"/>
      <c r="X384" s="2446"/>
      <c r="Y384" s="2446"/>
      <c r="Z384" s="2446"/>
      <c r="AA384" s="2446"/>
      <c r="AB384" s="2446"/>
      <c r="AC384" s="2446"/>
      <c r="AD384" s="2446"/>
      <c r="AE384" s="2446"/>
      <c r="AF384" s="244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7"/>
      <c r="G385" s="2447"/>
      <c r="H385" s="2447"/>
      <c r="I385" s="2447"/>
      <c r="J385" s="2447"/>
      <c r="K385" s="2447"/>
      <c r="L385" s="2447"/>
      <c r="M385" s="2447"/>
      <c r="N385" s="2447"/>
      <c r="O385" s="2447"/>
      <c r="P385" s="2447"/>
      <c r="Q385" s="2447"/>
      <c r="R385" s="2447"/>
      <c r="S385" s="2447"/>
      <c r="T385" s="2447"/>
      <c r="U385" s="2447"/>
      <c r="V385" s="2447"/>
      <c r="W385" s="2447"/>
      <c r="X385" s="2447"/>
      <c r="Y385" s="2447"/>
      <c r="Z385" s="2447"/>
      <c r="AA385" s="2447"/>
      <c r="AB385" s="2447"/>
      <c r="AC385" s="2447"/>
      <c r="AD385" s="2447"/>
      <c r="AE385" s="2447"/>
      <c r="AF385" s="244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7"/>
      <c r="G386" s="2447"/>
      <c r="H386" s="2447"/>
      <c r="I386" s="2447"/>
      <c r="J386" s="2447"/>
      <c r="K386" s="2447"/>
      <c r="L386" s="2447"/>
      <c r="M386" s="2447"/>
      <c r="N386" s="2447"/>
      <c r="O386" s="2447"/>
      <c r="P386" s="2447"/>
      <c r="Q386" s="2447"/>
      <c r="R386" s="2447"/>
      <c r="S386" s="2447"/>
      <c r="T386" s="2447"/>
      <c r="U386" s="2447"/>
      <c r="V386" s="2447"/>
      <c r="W386" s="2447"/>
      <c r="X386" s="2447"/>
      <c r="Y386" s="2447"/>
      <c r="Z386" s="2447"/>
      <c r="AA386" s="2447"/>
      <c r="AB386" s="2447"/>
      <c r="AC386" s="2447"/>
      <c r="AD386" s="2447"/>
      <c r="AE386" s="2447"/>
      <c r="AF386" s="244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7"/>
      <c r="G387" s="2447"/>
      <c r="H387" s="2447"/>
      <c r="I387" s="2447"/>
      <c r="J387" s="2447"/>
      <c r="K387" s="2447"/>
      <c r="L387" s="2447"/>
      <c r="M387" s="2447"/>
      <c r="N387" s="2447"/>
      <c r="O387" s="2447"/>
      <c r="P387" s="2447"/>
      <c r="Q387" s="2447"/>
      <c r="R387" s="2447"/>
      <c r="S387" s="2447"/>
      <c r="T387" s="2447"/>
      <c r="U387" s="2447"/>
      <c r="V387" s="2447"/>
      <c r="W387" s="2447"/>
      <c r="X387" s="2447"/>
      <c r="Y387" s="2447"/>
      <c r="Z387" s="2447"/>
      <c r="AA387" s="2447"/>
      <c r="AB387" s="2447"/>
      <c r="AC387" s="2447"/>
      <c r="AD387" s="2447"/>
      <c r="AE387" s="2447"/>
      <c r="AF387" s="244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7"/>
      <c r="G388" s="2447"/>
      <c r="H388" s="2447"/>
      <c r="I388" s="2447"/>
      <c r="J388" s="2447"/>
      <c r="K388" s="2447"/>
      <c r="L388" s="2447"/>
      <c r="M388" s="2447"/>
      <c r="N388" s="2447"/>
      <c r="O388" s="2447"/>
      <c r="P388" s="2447"/>
      <c r="Q388" s="2447"/>
      <c r="R388" s="2447"/>
      <c r="S388" s="2447"/>
      <c r="T388" s="2447"/>
      <c r="U388" s="2447"/>
      <c r="V388" s="2447"/>
      <c r="W388" s="2447"/>
      <c r="X388" s="2447"/>
      <c r="Y388" s="2447"/>
      <c r="Z388" s="2447"/>
      <c r="AA388" s="2447"/>
      <c r="AB388" s="2447"/>
      <c r="AC388" s="2447"/>
      <c r="AD388" s="2447"/>
      <c r="AE388" s="2447"/>
      <c r="AF388" s="2447"/>
      <c r="AL388" s="732"/>
      <c r="AN388" s="597"/>
      <c r="BS388" s="30"/>
      <c r="BT388" s="30"/>
      <c r="BU388" s="14"/>
      <c r="BV388" s="14"/>
      <c r="BW388" s="14"/>
      <c r="BX388" s="14"/>
      <c r="BY388" s="14"/>
      <c r="BZ388" s="14"/>
      <c r="CA388" s="14"/>
      <c r="CB388" s="14"/>
      <c r="CC388" s="14"/>
    </row>
    <row r="389" spans="1:81" s="550" customFormat="1" ht="12.75" customHeight="1">
      <c r="A389" s="536"/>
      <c r="B389" s="14"/>
      <c r="C389" s="2456" t="s">
        <v>592</v>
      </c>
      <c r="D389" s="245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8" t="s">
        <v>1463</v>
      </c>
      <c r="AG389" s="2458"/>
      <c r="AH389" s="2458"/>
      <c r="AI389" s="2458"/>
      <c r="AJ389" s="2458"/>
      <c r="AK389" s="2458"/>
      <c r="AL389" s="245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46" t="s">
        <v>1466</v>
      </c>
      <c r="G392" s="2446"/>
      <c r="H392" s="2446"/>
      <c r="I392" s="2446"/>
      <c r="J392" s="2446"/>
      <c r="K392" s="2446"/>
      <c r="L392" s="2446"/>
      <c r="M392" s="2446"/>
      <c r="N392" s="2446"/>
      <c r="O392" s="2446"/>
      <c r="P392" s="2446"/>
      <c r="Q392" s="2446"/>
      <c r="R392" s="2446"/>
      <c r="S392" s="2446"/>
      <c r="T392" s="2446"/>
      <c r="U392" s="2446"/>
      <c r="V392" s="2446"/>
      <c r="W392" s="2446"/>
      <c r="X392" s="2446"/>
      <c r="Y392" s="2446"/>
      <c r="Z392" s="2446"/>
      <c r="AA392" s="2446"/>
      <c r="AB392" s="2446"/>
      <c r="AC392" s="2446"/>
      <c r="AD392" s="2446"/>
      <c r="AE392" s="2446"/>
      <c r="AF392" s="244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7"/>
      <c r="G393" s="2447"/>
      <c r="H393" s="2447"/>
      <c r="I393" s="2447"/>
      <c r="J393" s="2447"/>
      <c r="K393" s="2447"/>
      <c r="L393" s="2447"/>
      <c r="M393" s="2447"/>
      <c r="N393" s="2447"/>
      <c r="O393" s="2447"/>
      <c r="P393" s="2447"/>
      <c r="Q393" s="2447"/>
      <c r="R393" s="2447"/>
      <c r="S393" s="2447"/>
      <c r="T393" s="2447"/>
      <c r="U393" s="2447"/>
      <c r="V393" s="2447"/>
      <c r="W393" s="2447"/>
      <c r="X393" s="2447"/>
      <c r="Y393" s="2447"/>
      <c r="Z393" s="2447"/>
      <c r="AA393" s="2447"/>
      <c r="AB393" s="2447"/>
      <c r="AC393" s="2447"/>
      <c r="AD393" s="2447"/>
      <c r="AE393" s="2447"/>
      <c r="AF393" s="244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7"/>
      <c r="G394" s="2447"/>
      <c r="H394" s="2447"/>
      <c r="I394" s="2447"/>
      <c r="J394" s="2447"/>
      <c r="K394" s="2447"/>
      <c r="L394" s="2447"/>
      <c r="M394" s="2447"/>
      <c r="N394" s="2447"/>
      <c r="O394" s="2447"/>
      <c r="P394" s="2447"/>
      <c r="Q394" s="2447"/>
      <c r="R394" s="2447"/>
      <c r="S394" s="2447"/>
      <c r="T394" s="2447"/>
      <c r="U394" s="2447"/>
      <c r="V394" s="2447"/>
      <c r="W394" s="2447"/>
      <c r="X394" s="2447"/>
      <c r="Y394" s="2447"/>
      <c r="Z394" s="2447"/>
      <c r="AA394" s="2447"/>
      <c r="AB394" s="2447"/>
      <c r="AC394" s="2447"/>
      <c r="AD394" s="2447"/>
      <c r="AE394" s="2447"/>
      <c r="AF394" s="244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7"/>
      <c r="G395" s="2447"/>
      <c r="H395" s="2447"/>
      <c r="I395" s="2447"/>
      <c r="J395" s="2447"/>
      <c r="K395" s="2447"/>
      <c r="L395" s="2447"/>
      <c r="M395" s="2447"/>
      <c r="N395" s="2447"/>
      <c r="O395" s="2447"/>
      <c r="P395" s="2447"/>
      <c r="Q395" s="2447"/>
      <c r="R395" s="2447"/>
      <c r="S395" s="2447"/>
      <c r="T395" s="2447"/>
      <c r="U395" s="2447"/>
      <c r="V395" s="2447"/>
      <c r="W395" s="2447"/>
      <c r="X395" s="2447"/>
      <c r="Y395" s="2447"/>
      <c r="Z395" s="2447"/>
      <c r="AA395" s="2447"/>
      <c r="AB395" s="2447"/>
      <c r="AC395" s="2447"/>
      <c r="AD395" s="2447"/>
      <c r="AE395" s="2447"/>
      <c r="AF395" s="244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7"/>
      <c r="G396" s="2447"/>
      <c r="H396" s="2447"/>
      <c r="I396" s="2447"/>
      <c r="J396" s="2447"/>
      <c r="K396" s="2447"/>
      <c r="L396" s="2447"/>
      <c r="M396" s="2447"/>
      <c r="N396" s="2447"/>
      <c r="O396" s="2447"/>
      <c r="P396" s="2447"/>
      <c r="Q396" s="2447"/>
      <c r="R396" s="2447"/>
      <c r="S396" s="2447"/>
      <c r="T396" s="2447"/>
      <c r="U396" s="2447"/>
      <c r="V396" s="2447"/>
      <c r="W396" s="2447"/>
      <c r="X396" s="2447"/>
      <c r="Y396" s="2447"/>
      <c r="Z396" s="2447"/>
      <c r="AA396" s="2447"/>
      <c r="AB396" s="2447"/>
      <c r="AC396" s="2447"/>
      <c r="AD396" s="2447"/>
      <c r="AE396" s="2447"/>
      <c r="AF396" s="244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6" t="s">
        <v>546</v>
      </c>
      <c r="D397" s="245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8" t="s">
        <v>1468</v>
      </c>
      <c r="AG397" s="2458"/>
      <c r="AH397" s="2458"/>
      <c r="AI397" s="2458"/>
      <c r="AJ397" s="2458"/>
      <c r="AK397" s="2458"/>
      <c r="AL397" s="245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6" t="s">
        <v>592</v>
      </c>
      <c r="D399" s="245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8" t="s">
        <v>1463</v>
      </c>
      <c r="AG399" s="2458"/>
      <c r="AH399" s="2458"/>
      <c r="AI399" s="2458"/>
      <c r="AJ399" s="2458"/>
      <c r="AK399" s="2458"/>
      <c r="AL399" s="245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46" t="s">
        <v>1472</v>
      </c>
      <c r="G403" s="2446"/>
      <c r="H403" s="2446"/>
      <c r="I403" s="2446"/>
      <c r="J403" s="2446"/>
      <c r="K403" s="2446"/>
      <c r="L403" s="2446"/>
      <c r="M403" s="2446"/>
      <c r="N403" s="2446"/>
      <c r="O403" s="2446"/>
      <c r="P403" s="2446"/>
      <c r="Q403" s="2446"/>
      <c r="R403" s="2446"/>
      <c r="S403" s="2446"/>
      <c r="T403" s="2446"/>
      <c r="U403" s="2446"/>
      <c r="V403" s="2446"/>
      <c r="W403" s="2446"/>
      <c r="X403" s="2446"/>
      <c r="Y403" s="2446"/>
      <c r="Z403" s="2446"/>
      <c r="AA403" s="2446"/>
      <c r="AB403" s="2446"/>
      <c r="AC403" s="2446"/>
      <c r="AD403" s="2446"/>
      <c r="AE403" s="2446"/>
      <c r="AF403" s="244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7"/>
      <c r="G404" s="2447"/>
      <c r="H404" s="2447"/>
      <c r="I404" s="2447"/>
      <c r="J404" s="2447"/>
      <c r="K404" s="2447"/>
      <c r="L404" s="2447"/>
      <c r="M404" s="2447"/>
      <c r="N404" s="2447"/>
      <c r="O404" s="2447"/>
      <c r="P404" s="2447"/>
      <c r="Q404" s="2447"/>
      <c r="R404" s="2447"/>
      <c r="S404" s="2447"/>
      <c r="T404" s="2447"/>
      <c r="U404" s="2447"/>
      <c r="V404" s="2447"/>
      <c r="W404" s="2447"/>
      <c r="X404" s="2447"/>
      <c r="Y404" s="2447"/>
      <c r="Z404" s="2447"/>
      <c r="AA404" s="2447"/>
      <c r="AB404" s="2447"/>
      <c r="AC404" s="2447"/>
      <c r="AD404" s="2447"/>
      <c r="AE404" s="2447"/>
      <c r="AF404" s="244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7"/>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7"/>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7"/>
      <c r="AE406" s="2447"/>
      <c r="AF406" s="244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6" t="s">
        <v>592</v>
      </c>
      <c r="D407" s="245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8" t="s">
        <v>1463</v>
      </c>
      <c r="AG407" s="2458"/>
      <c r="AH407" s="2458"/>
      <c r="AI407" s="2458"/>
      <c r="AJ407" s="2458"/>
      <c r="AK407" s="2458"/>
      <c r="AL407" s="245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6" t="s">
        <v>546</v>
      </c>
      <c r="D409" s="245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8" t="s">
        <v>1475</v>
      </c>
      <c r="AG409" s="2458"/>
      <c r="AH409" s="2458"/>
      <c r="AI409" s="2458"/>
      <c r="AJ409" s="2458"/>
      <c r="AK409" s="2458"/>
      <c r="AL409" s="245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6" t="s">
        <v>592</v>
      </c>
      <c r="D412" s="2457"/>
      <c r="E412" s="715" t="s">
        <v>1476</v>
      </c>
      <c r="F412" s="2446" t="s">
        <v>1477</v>
      </c>
      <c r="G412" s="2446"/>
      <c r="H412" s="2446"/>
      <c r="I412" s="2446"/>
      <c r="J412" s="2446"/>
      <c r="K412" s="2446"/>
      <c r="L412" s="2446"/>
      <c r="M412" s="2446"/>
      <c r="N412" s="2446"/>
      <c r="O412" s="2446"/>
      <c r="P412" s="2446"/>
      <c r="Q412" s="2446"/>
      <c r="R412" s="2446"/>
      <c r="S412" s="2446"/>
      <c r="T412" s="2446"/>
      <c r="U412" s="2446"/>
      <c r="V412" s="2446"/>
      <c r="W412" s="2446"/>
      <c r="X412" s="2446"/>
      <c r="Y412" s="2446"/>
      <c r="Z412" s="2446"/>
      <c r="AA412" s="2446"/>
      <c r="AB412" s="2446"/>
      <c r="AC412" s="2446"/>
      <c r="AD412" s="2446"/>
      <c r="AE412" s="244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7"/>
      <c r="G413" s="2447"/>
      <c r="H413" s="2447"/>
      <c r="I413" s="2447"/>
      <c r="J413" s="2447"/>
      <c r="K413" s="2447"/>
      <c r="L413" s="2447"/>
      <c r="M413" s="2447"/>
      <c r="N413" s="2447"/>
      <c r="O413" s="2447"/>
      <c r="P413" s="2447"/>
      <c r="Q413" s="2447"/>
      <c r="R413" s="2447"/>
      <c r="S413" s="2447"/>
      <c r="T413" s="2447"/>
      <c r="U413" s="2447"/>
      <c r="V413" s="2447"/>
      <c r="W413" s="2447"/>
      <c r="X413" s="2447"/>
      <c r="Y413" s="2447"/>
      <c r="Z413" s="2447"/>
      <c r="AA413" s="2447"/>
      <c r="AB413" s="2447"/>
      <c r="AC413" s="2447"/>
      <c r="AD413" s="2447"/>
      <c r="AE413" s="2447"/>
      <c r="AF413" s="2536" t="s">
        <v>1463</v>
      </c>
      <c r="AG413" s="2536"/>
      <c r="AH413" s="2536"/>
      <c r="AI413" s="2536"/>
      <c r="AJ413" s="2536"/>
      <c r="AK413" s="2536"/>
      <c r="AL413" s="2545"/>
      <c r="AM413" s="570"/>
      <c r="AN413" s="597"/>
      <c r="BS413" s="570"/>
      <c r="BT413" s="570"/>
      <c r="BY413" s="570"/>
      <c r="BZ413" s="570"/>
      <c r="CA413" s="570"/>
      <c r="CB413" s="570"/>
      <c r="CC413" s="570"/>
    </row>
    <row r="414" spans="1:81" s="550" customFormat="1" ht="12.75" customHeight="1">
      <c r="A414" s="536"/>
      <c r="B414" s="14"/>
      <c r="C414" s="731"/>
      <c r="D414" s="14"/>
      <c r="E414" s="691"/>
      <c r="F414" s="2447"/>
      <c r="G414" s="2447"/>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8"/>
      <c r="G415" s="2448"/>
      <c r="H415" s="2448"/>
      <c r="I415" s="2448"/>
      <c r="J415" s="2448"/>
      <c r="K415" s="2448"/>
      <c r="L415" s="2448"/>
      <c r="M415" s="2448"/>
      <c r="N415" s="2448"/>
      <c r="O415" s="2448"/>
      <c r="P415" s="2448"/>
      <c r="Q415" s="2448"/>
      <c r="R415" s="2448"/>
      <c r="S415" s="2448"/>
      <c r="T415" s="2448"/>
      <c r="U415" s="2448"/>
      <c r="V415" s="2448"/>
      <c r="W415" s="2448"/>
      <c r="X415" s="2448"/>
      <c r="Y415" s="2448"/>
      <c r="Z415" s="2448"/>
      <c r="AA415" s="2448"/>
      <c r="AB415" s="2448"/>
      <c r="AC415" s="2448"/>
      <c r="AD415" s="2448"/>
      <c r="AE415" s="244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46" t="s">
        <v>1479</v>
      </c>
      <c r="G417" s="2446"/>
      <c r="H417" s="2446"/>
      <c r="I417" s="2446"/>
      <c r="J417" s="2446"/>
      <c r="K417" s="2446"/>
      <c r="L417" s="2446"/>
      <c r="M417" s="2446"/>
      <c r="N417" s="2446"/>
      <c r="O417" s="2446"/>
      <c r="P417" s="2446"/>
      <c r="Q417" s="2446"/>
      <c r="R417" s="2446"/>
      <c r="S417" s="2446"/>
      <c r="T417" s="2446"/>
      <c r="U417" s="2446"/>
      <c r="V417" s="2446"/>
      <c r="W417" s="2446"/>
      <c r="X417" s="2446"/>
      <c r="Y417" s="2446"/>
      <c r="Z417" s="2446"/>
      <c r="AA417" s="2446"/>
      <c r="AB417" s="2446"/>
      <c r="AC417" s="2446"/>
      <c r="AD417" s="2446"/>
      <c r="AE417" s="2446"/>
      <c r="AF417" s="747"/>
      <c r="AG417" s="747"/>
      <c r="AH417" s="747"/>
      <c r="AI417" s="747"/>
      <c r="AJ417" s="747"/>
      <c r="AK417" s="747"/>
      <c r="AL417" s="748"/>
      <c r="AM417" s="570"/>
    </row>
    <row r="418" spans="1:55">
      <c r="A418" s="536"/>
      <c r="C418" s="731"/>
      <c r="E418" s="691"/>
      <c r="F418" s="2447"/>
      <c r="G418" s="2447"/>
      <c r="H418" s="2447"/>
      <c r="I418" s="2447"/>
      <c r="J418" s="2447"/>
      <c r="K418" s="2447"/>
      <c r="L418" s="2447"/>
      <c r="M418" s="2447"/>
      <c r="N418" s="2447"/>
      <c r="O418" s="2447"/>
      <c r="P418" s="2447"/>
      <c r="Q418" s="2447"/>
      <c r="R418" s="2447"/>
      <c r="S418" s="2447"/>
      <c r="T418" s="2447"/>
      <c r="U418" s="2447"/>
      <c r="V418" s="2447"/>
      <c r="W418" s="2447"/>
      <c r="X418" s="2447"/>
      <c r="Y418" s="2447"/>
      <c r="Z418" s="2447"/>
      <c r="AA418" s="2447"/>
      <c r="AB418" s="2447"/>
      <c r="AC418" s="2447"/>
      <c r="AD418" s="2447"/>
      <c r="AE418" s="2447"/>
      <c r="AF418" s="539"/>
      <c r="AG418" s="536"/>
      <c r="AH418" s="550"/>
      <c r="AI418" s="550"/>
      <c r="AJ418" s="550"/>
      <c r="AK418" s="550"/>
      <c r="AL418" s="732"/>
      <c r="AM418" s="570"/>
    </row>
    <row r="419" spans="1:55" s="550" customFormat="1" ht="12.75" customHeight="1">
      <c r="A419" s="536"/>
      <c r="B419" s="14"/>
      <c r="C419" s="731"/>
      <c r="D419" s="14"/>
      <c r="E419" s="691"/>
      <c r="F419" s="2447"/>
      <c r="G419" s="2447"/>
      <c r="H419" s="2447"/>
      <c r="I419" s="2447"/>
      <c r="J419" s="2447"/>
      <c r="K419" s="2447"/>
      <c r="L419" s="2447"/>
      <c r="M419" s="2447"/>
      <c r="N419" s="2447"/>
      <c r="O419" s="2447"/>
      <c r="P419" s="2447"/>
      <c r="Q419" s="2447"/>
      <c r="R419" s="2447"/>
      <c r="S419" s="2447"/>
      <c r="T419" s="2447"/>
      <c r="U419" s="2447"/>
      <c r="V419" s="2447"/>
      <c r="W419" s="2447"/>
      <c r="X419" s="2447"/>
      <c r="Y419" s="2447"/>
      <c r="Z419" s="2447"/>
      <c r="AA419" s="2447"/>
      <c r="AB419" s="2447"/>
      <c r="AC419" s="2447"/>
      <c r="AD419" s="2447"/>
      <c r="AE419" s="2447"/>
      <c r="AL419" s="732"/>
      <c r="AM419" s="570"/>
      <c r="AN419" s="597"/>
    </row>
    <row r="420" spans="1:55" s="550" customFormat="1" ht="12.75" customHeight="1">
      <c r="A420" s="536"/>
      <c r="B420" s="14"/>
      <c r="C420" s="739"/>
      <c r="F420" s="2447"/>
      <c r="G420" s="2447"/>
      <c r="H420" s="2447"/>
      <c r="I420" s="2447"/>
      <c r="J420" s="2447"/>
      <c r="K420" s="2447"/>
      <c r="L420" s="2447"/>
      <c r="M420" s="2447"/>
      <c r="N420" s="2447"/>
      <c r="O420" s="2447"/>
      <c r="P420" s="2447"/>
      <c r="Q420" s="2447"/>
      <c r="R420" s="2447"/>
      <c r="S420" s="2447"/>
      <c r="T420" s="2447"/>
      <c r="U420" s="2447"/>
      <c r="V420" s="2447"/>
      <c r="W420" s="2447"/>
      <c r="X420" s="2447"/>
      <c r="Y420" s="2447"/>
      <c r="Z420" s="2447"/>
      <c r="AA420" s="2447"/>
      <c r="AB420" s="2447"/>
      <c r="AC420" s="2447"/>
      <c r="AD420" s="2447"/>
      <c r="AE420" s="2447"/>
      <c r="AL420" s="732"/>
      <c r="AM420" s="570"/>
      <c r="AN420" s="597"/>
    </row>
    <row r="421" spans="1:55" s="550" customFormat="1" ht="12.75" customHeight="1">
      <c r="A421" s="536"/>
      <c r="B421" s="14"/>
      <c r="C421" s="2456" t="s">
        <v>592</v>
      </c>
      <c r="D421" s="245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6" t="s">
        <v>1463</v>
      </c>
      <c r="AG421" s="2536"/>
      <c r="AH421" s="2536"/>
      <c r="AI421" s="2536"/>
      <c r="AJ421" s="2536"/>
      <c r="AK421" s="2536"/>
      <c r="AL421" s="2545"/>
      <c r="AM421" s="570"/>
      <c r="AN421" s="597"/>
    </row>
    <row r="422" spans="1:55" s="550" customFormat="1" ht="12.75" customHeight="1">
      <c r="A422" s="536"/>
      <c r="B422" s="14"/>
      <c r="C422" s="739"/>
      <c r="AL422" s="732"/>
      <c r="AM422" s="570"/>
      <c r="AN422" s="597"/>
    </row>
    <row r="423" spans="1:55" s="550" customFormat="1" ht="12.75" customHeight="1">
      <c r="A423" s="536"/>
      <c r="B423" s="14"/>
      <c r="C423" s="2456" t="s">
        <v>592</v>
      </c>
      <c r="D423" s="245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6" t="s">
        <v>1475</v>
      </c>
      <c r="AG423" s="2536"/>
      <c r="AH423" s="2536"/>
      <c r="AI423" s="2536"/>
      <c r="AJ423" s="2536"/>
      <c r="AK423" s="2536"/>
      <c r="AL423" s="254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46" t="s">
        <v>1483</v>
      </c>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714"/>
      <c r="AG427" s="714"/>
      <c r="AH427" s="714"/>
      <c r="AI427" s="714"/>
      <c r="AJ427" s="714"/>
      <c r="AK427" s="714"/>
      <c r="AL427" s="745"/>
      <c r="AM427" s="570"/>
      <c r="AN427" s="597"/>
    </row>
    <row r="428" spans="1:55" s="550" customFormat="1" ht="12.75" customHeight="1">
      <c r="A428" s="536"/>
      <c r="B428" s="14"/>
      <c r="C428" s="731"/>
      <c r="D428" s="14"/>
      <c r="E428" s="691"/>
      <c r="F428" s="2447"/>
      <c r="G428" s="2447"/>
      <c r="H428" s="2447"/>
      <c r="I428" s="2447"/>
      <c r="J428" s="2447"/>
      <c r="K428" s="2447"/>
      <c r="L428" s="2447"/>
      <c r="M428" s="2447"/>
      <c r="N428" s="2447"/>
      <c r="O428" s="2447"/>
      <c r="P428" s="2447"/>
      <c r="Q428" s="2447"/>
      <c r="R428" s="2447"/>
      <c r="S428" s="2447"/>
      <c r="T428" s="2447"/>
      <c r="U428" s="2447"/>
      <c r="V428" s="2447"/>
      <c r="W428" s="2447"/>
      <c r="X428" s="2447"/>
      <c r="Y428" s="2447"/>
      <c r="Z428" s="2447"/>
      <c r="AA428" s="2447"/>
      <c r="AB428" s="2447"/>
      <c r="AC428" s="2447"/>
      <c r="AD428" s="2447"/>
      <c r="AE428" s="2447"/>
      <c r="AF428" s="539"/>
      <c r="AG428" s="536"/>
      <c r="AL428" s="732"/>
      <c r="AM428" s="570"/>
      <c r="AN428" s="597"/>
    </row>
    <row r="429" spans="1:55" s="550" customFormat="1" ht="12.45" customHeight="1">
      <c r="A429" s="536"/>
      <c r="B429" s="14"/>
      <c r="C429" s="731"/>
      <c r="D429" s="14"/>
      <c r="E429" s="691"/>
      <c r="F429" s="2447"/>
      <c r="G429" s="2447"/>
      <c r="H429" s="2447"/>
      <c r="I429" s="2447"/>
      <c r="J429" s="2447"/>
      <c r="K429" s="2447"/>
      <c r="L429" s="2447"/>
      <c r="M429" s="2447"/>
      <c r="N429" s="2447"/>
      <c r="O429" s="2447"/>
      <c r="P429" s="2447"/>
      <c r="Q429" s="2447"/>
      <c r="R429" s="2447"/>
      <c r="S429" s="2447"/>
      <c r="T429" s="2447"/>
      <c r="U429" s="2447"/>
      <c r="V429" s="2447"/>
      <c r="W429" s="2447"/>
      <c r="X429" s="2447"/>
      <c r="Y429" s="2447"/>
      <c r="Z429" s="2447"/>
      <c r="AA429" s="2447"/>
      <c r="AB429" s="2447"/>
      <c r="AC429" s="2447"/>
      <c r="AD429" s="2447"/>
      <c r="AE429" s="2447"/>
      <c r="AL429" s="732"/>
      <c r="AM429" s="570"/>
      <c r="AN429" s="597"/>
    </row>
    <row r="430" spans="1:55" s="550" customFormat="1" ht="12.75" customHeight="1">
      <c r="A430" s="536"/>
      <c r="B430" s="14"/>
      <c r="C430" s="2456" t="s">
        <v>592</v>
      </c>
      <c r="D430" s="245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6" t="s">
        <v>1463</v>
      </c>
      <c r="AG430" s="2536"/>
      <c r="AH430" s="2536"/>
      <c r="AI430" s="2536"/>
      <c r="AJ430" s="2536"/>
      <c r="AK430" s="2536"/>
      <c r="AL430" s="254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46" t="s">
        <v>1486</v>
      </c>
      <c r="G433" s="2446"/>
      <c r="H433" s="2446"/>
      <c r="I433" s="2446"/>
      <c r="J433" s="2446"/>
      <c r="K433" s="2446"/>
      <c r="L433" s="2446"/>
      <c r="M433" s="2446"/>
      <c r="N433" s="2446"/>
      <c r="O433" s="2446"/>
      <c r="P433" s="2446"/>
      <c r="Q433" s="2446"/>
      <c r="R433" s="2446"/>
      <c r="S433" s="2446"/>
      <c r="T433" s="2446"/>
      <c r="U433" s="2446"/>
      <c r="V433" s="2446"/>
      <c r="W433" s="2446"/>
      <c r="X433" s="2446"/>
      <c r="Y433" s="2446"/>
      <c r="Z433" s="2446"/>
      <c r="AA433" s="2446"/>
      <c r="AB433" s="2446"/>
      <c r="AC433" s="2446"/>
      <c r="AD433" s="2446"/>
      <c r="AE433" s="2446"/>
      <c r="AF433" s="747"/>
      <c r="AG433" s="747"/>
      <c r="AH433" s="747"/>
      <c r="AI433" s="747"/>
      <c r="AJ433" s="747"/>
      <c r="AK433" s="747"/>
      <c r="AL433" s="748"/>
      <c r="AM433" s="570"/>
      <c r="AO433" s="550"/>
      <c r="AP433" s="550"/>
      <c r="BD433" s="14"/>
      <c r="BE433" s="14"/>
      <c r="BF433" s="14"/>
      <c r="BG433" s="14"/>
      <c r="BH433" s="14"/>
    </row>
    <row r="434" spans="1:60">
      <c r="A434" s="536"/>
      <c r="C434" s="731"/>
      <c r="E434" s="691"/>
      <c r="F434" s="2447"/>
      <c r="G434" s="2447"/>
      <c r="H434" s="2447"/>
      <c r="I434" s="2447"/>
      <c r="J434" s="2447"/>
      <c r="K434" s="2447"/>
      <c r="L434" s="2447"/>
      <c r="M434" s="2447"/>
      <c r="N434" s="2447"/>
      <c r="O434" s="2447"/>
      <c r="P434" s="2447"/>
      <c r="Q434" s="2447"/>
      <c r="R434" s="2447"/>
      <c r="S434" s="2447"/>
      <c r="T434" s="2447"/>
      <c r="U434" s="2447"/>
      <c r="V434" s="2447"/>
      <c r="W434" s="2447"/>
      <c r="X434" s="2447"/>
      <c r="Y434" s="2447"/>
      <c r="Z434" s="2447"/>
      <c r="AA434" s="2447"/>
      <c r="AB434" s="2447"/>
      <c r="AC434" s="2447"/>
      <c r="AD434" s="2447"/>
      <c r="AE434" s="2447"/>
      <c r="AF434" s="594"/>
      <c r="AG434" s="594"/>
      <c r="AH434" s="594"/>
      <c r="AI434" s="594"/>
      <c r="AJ434" s="594"/>
      <c r="AK434" s="594"/>
      <c r="AL434" s="750"/>
      <c r="AM434" s="570"/>
      <c r="AO434" s="550"/>
      <c r="AP434" s="550"/>
    </row>
    <row r="435" spans="1:60" s="550" customFormat="1" ht="12.75" customHeight="1">
      <c r="A435" s="536"/>
      <c r="B435" s="14"/>
      <c r="C435" s="731"/>
      <c r="D435" s="14"/>
      <c r="E435" s="691"/>
      <c r="F435" s="2447"/>
      <c r="G435" s="2447"/>
      <c r="H435" s="2447"/>
      <c r="I435" s="2447"/>
      <c r="J435" s="2447"/>
      <c r="K435" s="2447"/>
      <c r="L435" s="2447"/>
      <c r="M435" s="2447"/>
      <c r="N435" s="2447"/>
      <c r="O435" s="2447"/>
      <c r="P435" s="2447"/>
      <c r="Q435" s="2447"/>
      <c r="R435" s="2447"/>
      <c r="S435" s="2447"/>
      <c r="T435" s="2447"/>
      <c r="U435" s="2447"/>
      <c r="V435" s="2447"/>
      <c r="W435" s="2447"/>
      <c r="X435" s="2447"/>
      <c r="Y435" s="2447"/>
      <c r="Z435" s="2447"/>
      <c r="AA435" s="2447"/>
      <c r="AB435" s="2447"/>
      <c r="AC435" s="2447"/>
      <c r="AD435" s="2447"/>
      <c r="AE435" s="2447"/>
      <c r="AF435" s="594"/>
      <c r="AG435" s="594"/>
      <c r="AH435" s="594"/>
      <c r="AI435" s="594"/>
      <c r="AJ435" s="594"/>
      <c r="AK435" s="594"/>
      <c r="AL435" s="750"/>
      <c r="AM435" s="570"/>
      <c r="AN435" s="597"/>
    </row>
    <row r="436" spans="1:60" s="550" customFormat="1" ht="12.75" customHeight="1">
      <c r="A436" s="536"/>
      <c r="B436" s="14"/>
      <c r="C436" s="751"/>
      <c r="D436" s="730"/>
      <c r="E436" s="719"/>
      <c r="F436" s="2447"/>
      <c r="G436" s="2447"/>
      <c r="H436" s="2447"/>
      <c r="I436" s="2447"/>
      <c r="J436" s="2447"/>
      <c r="K436" s="2447"/>
      <c r="L436" s="2447"/>
      <c r="M436" s="2447"/>
      <c r="N436" s="2447"/>
      <c r="O436" s="2447"/>
      <c r="P436" s="2447"/>
      <c r="Q436" s="2447"/>
      <c r="R436" s="2447"/>
      <c r="S436" s="2447"/>
      <c r="T436" s="2447"/>
      <c r="U436" s="2447"/>
      <c r="V436" s="2447"/>
      <c r="W436" s="2447"/>
      <c r="X436" s="2447"/>
      <c r="Y436" s="2447"/>
      <c r="Z436" s="2447"/>
      <c r="AA436" s="2447"/>
      <c r="AB436" s="2447"/>
      <c r="AC436" s="2447"/>
      <c r="AD436" s="2447"/>
      <c r="AE436" s="244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7"/>
      <c r="G437" s="2447"/>
      <c r="H437" s="2447"/>
      <c r="I437" s="2447"/>
      <c r="J437" s="2447"/>
      <c r="K437" s="2447"/>
      <c r="L437" s="2447"/>
      <c r="M437" s="2447"/>
      <c r="N437" s="2447"/>
      <c r="O437" s="2447"/>
      <c r="P437" s="2447"/>
      <c r="Q437" s="2447"/>
      <c r="R437" s="2447"/>
      <c r="S437" s="2447"/>
      <c r="T437" s="2447"/>
      <c r="U437" s="2447"/>
      <c r="V437" s="2447"/>
      <c r="W437" s="2447"/>
      <c r="X437" s="2447"/>
      <c r="Y437" s="2447"/>
      <c r="Z437" s="2447"/>
      <c r="AA437" s="2447"/>
      <c r="AB437" s="2447"/>
      <c r="AC437" s="2447"/>
      <c r="AD437" s="2447"/>
      <c r="AE437" s="2447"/>
      <c r="AF437" s="594"/>
      <c r="AG437" s="594"/>
      <c r="AH437" s="594"/>
      <c r="AI437" s="594"/>
      <c r="AJ437" s="594"/>
      <c r="AK437" s="594"/>
      <c r="AL437" s="750"/>
      <c r="AM437" s="570"/>
      <c r="AN437" s="597"/>
    </row>
    <row r="438" spans="1:60" s="550" customFormat="1" ht="12.75" customHeight="1">
      <c r="A438" s="536"/>
      <c r="B438" s="14"/>
      <c r="C438" s="751"/>
      <c r="D438" s="730"/>
      <c r="E438" s="719"/>
      <c r="F438" s="2447"/>
      <c r="G438" s="2447"/>
      <c r="H438" s="2447"/>
      <c r="I438" s="2447"/>
      <c r="J438" s="2447"/>
      <c r="K438" s="2447"/>
      <c r="L438" s="2447"/>
      <c r="M438" s="2447"/>
      <c r="N438" s="2447"/>
      <c r="O438" s="2447"/>
      <c r="P438" s="2447"/>
      <c r="Q438" s="2447"/>
      <c r="R438" s="2447"/>
      <c r="S438" s="2447"/>
      <c r="T438" s="2447"/>
      <c r="U438" s="2447"/>
      <c r="V438" s="2447"/>
      <c r="W438" s="2447"/>
      <c r="X438" s="2447"/>
      <c r="Y438" s="2447"/>
      <c r="Z438" s="2447"/>
      <c r="AA438" s="2447"/>
      <c r="AB438" s="2447"/>
      <c r="AC438" s="2447"/>
      <c r="AD438" s="2447"/>
      <c r="AE438" s="2447"/>
      <c r="AF438" s="594"/>
      <c r="AG438" s="594"/>
      <c r="AH438" s="594"/>
      <c r="AI438" s="594"/>
      <c r="AJ438" s="594"/>
      <c r="AK438" s="594"/>
      <c r="AL438" s="750"/>
      <c r="AM438" s="570"/>
      <c r="AN438" s="597"/>
    </row>
    <row r="439" spans="1:60" s="550" customFormat="1" ht="12.75" customHeight="1">
      <c r="A439" s="536"/>
      <c r="B439" s="14"/>
      <c r="C439" s="751"/>
      <c r="D439" s="730"/>
      <c r="E439" s="719"/>
      <c r="F439" s="2447"/>
      <c r="G439" s="2447"/>
      <c r="H439" s="2447"/>
      <c r="I439" s="2447"/>
      <c r="J439" s="2447"/>
      <c r="K439" s="2447"/>
      <c r="L439" s="2447"/>
      <c r="M439" s="2447"/>
      <c r="N439" s="2447"/>
      <c r="O439" s="2447"/>
      <c r="P439" s="2447"/>
      <c r="Q439" s="2447"/>
      <c r="R439" s="2447"/>
      <c r="S439" s="2447"/>
      <c r="T439" s="2447"/>
      <c r="U439" s="2447"/>
      <c r="V439" s="2447"/>
      <c r="W439" s="2447"/>
      <c r="X439" s="2447"/>
      <c r="Y439" s="2447"/>
      <c r="Z439" s="2447"/>
      <c r="AA439" s="2447"/>
      <c r="AB439" s="2447"/>
      <c r="AC439" s="2447"/>
      <c r="AD439" s="2447"/>
      <c r="AE439" s="2447"/>
      <c r="AF439" s="594"/>
      <c r="AG439" s="594"/>
      <c r="AH439" s="594"/>
      <c r="AI439" s="594"/>
      <c r="AJ439" s="594"/>
      <c r="AK439" s="594"/>
      <c r="AL439" s="750"/>
      <c r="AM439" s="570"/>
      <c r="AN439" s="597"/>
    </row>
    <row r="440" spans="1:60" s="550" customFormat="1" ht="12.75" customHeight="1">
      <c r="A440" s="536"/>
      <c r="B440" s="14"/>
      <c r="C440" s="751"/>
      <c r="D440" s="730"/>
      <c r="E440" s="719"/>
      <c r="F440" s="2447"/>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594"/>
      <c r="AG440" s="594"/>
      <c r="AH440" s="594"/>
      <c r="AI440" s="594"/>
      <c r="AJ440" s="594"/>
      <c r="AK440" s="594"/>
      <c r="AL440" s="750"/>
      <c r="AM440" s="570"/>
      <c r="AN440" s="597"/>
    </row>
    <row r="441" spans="1:60" s="550" customFormat="1" ht="17.25" customHeight="1">
      <c r="A441" s="536"/>
      <c r="B441" s="14"/>
      <c r="C441" s="751"/>
      <c r="D441" s="730"/>
      <c r="E441" s="719"/>
      <c r="F441" s="2447"/>
      <c r="G441" s="2447"/>
      <c r="H441" s="2447"/>
      <c r="I441" s="2447"/>
      <c r="J441" s="2447"/>
      <c r="K441" s="2447"/>
      <c r="L441" s="2447"/>
      <c r="M441" s="2447"/>
      <c r="N441" s="2447"/>
      <c r="O441" s="2447"/>
      <c r="P441" s="2447"/>
      <c r="Q441" s="2447"/>
      <c r="R441" s="2447"/>
      <c r="S441" s="2447"/>
      <c r="T441" s="2447"/>
      <c r="U441" s="2447"/>
      <c r="V441" s="2447"/>
      <c r="W441" s="2447"/>
      <c r="X441" s="2447"/>
      <c r="Y441" s="2447"/>
      <c r="Z441" s="2447"/>
      <c r="AA441" s="2447"/>
      <c r="AB441" s="2447"/>
      <c r="AC441" s="2447"/>
      <c r="AD441" s="2447"/>
      <c r="AE441" s="2447"/>
      <c r="AL441" s="732"/>
      <c r="AM441" s="570"/>
      <c r="AN441" s="597"/>
    </row>
    <row r="442" spans="1:60" s="550" customFormat="1" ht="12.75" customHeight="1">
      <c r="A442" s="536"/>
      <c r="B442" s="14"/>
      <c r="C442" s="2456" t="s">
        <v>592</v>
      </c>
      <c r="D442" s="245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6" t="s">
        <v>1463</v>
      </c>
      <c r="AG442" s="2536"/>
      <c r="AH442" s="2536"/>
      <c r="AI442" s="2536"/>
      <c r="AJ442" s="2536"/>
      <c r="AK442" s="2536"/>
      <c r="AL442" s="254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46" t="s">
        <v>1489</v>
      </c>
      <c r="G445" s="2446"/>
      <c r="H445" s="2446"/>
      <c r="I445" s="2446"/>
      <c r="J445" s="2446"/>
      <c r="K445" s="2446"/>
      <c r="L445" s="2446"/>
      <c r="M445" s="2446"/>
      <c r="N445" s="2446"/>
      <c r="O445" s="2446"/>
      <c r="P445" s="2446"/>
      <c r="Q445" s="2446"/>
      <c r="R445" s="2446"/>
      <c r="S445" s="2446"/>
      <c r="T445" s="2446"/>
      <c r="U445" s="2446"/>
      <c r="V445" s="2446"/>
      <c r="W445" s="2446"/>
      <c r="X445" s="2446"/>
      <c r="Y445" s="2446"/>
      <c r="Z445" s="2446"/>
      <c r="AA445" s="2446"/>
      <c r="AB445" s="2446"/>
      <c r="AC445" s="2446"/>
      <c r="AD445" s="2446"/>
      <c r="AE445" s="2446"/>
      <c r="AF445" s="714"/>
      <c r="AG445" s="714"/>
      <c r="AH445" s="714"/>
      <c r="AI445" s="714"/>
      <c r="AJ445" s="714"/>
      <c r="AK445" s="714"/>
      <c r="AL445" s="745"/>
      <c r="AM445" s="570"/>
      <c r="AN445" s="597"/>
    </row>
    <row r="446" spans="1:60" s="550" customFormat="1" ht="12.75" customHeight="1">
      <c r="A446" s="536"/>
      <c r="B446" s="14"/>
      <c r="C446" s="751"/>
      <c r="D446" s="730"/>
      <c r="E446" s="719"/>
      <c r="F446" s="2447"/>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591"/>
      <c r="AG446" s="591"/>
      <c r="AH446" s="591"/>
      <c r="AI446" s="591"/>
      <c r="AJ446" s="591"/>
      <c r="AK446" s="591"/>
      <c r="AL446" s="720"/>
      <c r="AM446" s="570"/>
      <c r="AN446" s="597"/>
    </row>
    <row r="447" spans="1:60" s="550" customFormat="1" ht="12.75" customHeight="1">
      <c r="A447" s="536"/>
      <c r="B447" s="14"/>
      <c r="C447" s="751"/>
      <c r="D447" s="730"/>
      <c r="E447" s="719"/>
      <c r="F447" s="2447"/>
      <c r="G447" s="2447"/>
      <c r="H447" s="2447"/>
      <c r="I447" s="2447"/>
      <c r="J447" s="2447"/>
      <c r="K447" s="2447"/>
      <c r="L447" s="2447"/>
      <c r="M447" s="2447"/>
      <c r="N447" s="2447"/>
      <c r="O447" s="2447"/>
      <c r="P447" s="2447"/>
      <c r="Q447" s="2447"/>
      <c r="R447" s="2447"/>
      <c r="S447" s="2447"/>
      <c r="T447" s="2447"/>
      <c r="U447" s="2447"/>
      <c r="V447" s="2447"/>
      <c r="W447" s="2447"/>
      <c r="X447" s="2447"/>
      <c r="Y447" s="2447"/>
      <c r="Z447" s="2447"/>
      <c r="AA447" s="2447"/>
      <c r="AB447" s="2447"/>
      <c r="AC447" s="2447"/>
      <c r="AD447" s="2447"/>
      <c r="AE447" s="2447"/>
      <c r="AF447" s="591"/>
      <c r="AG447" s="591"/>
      <c r="AH447" s="591"/>
      <c r="AI447" s="591"/>
      <c r="AJ447" s="591"/>
      <c r="AK447" s="591"/>
      <c r="AL447" s="720"/>
      <c r="AM447" s="570"/>
      <c r="AN447" s="597"/>
    </row>
    <row r="448" spans="1:60" s="550" customFormat="1" ht="12.75" customHeight="1">
      <c r="A448" s="536"/>
      <c r="B448" s="14"/>
      <c r="C448" s="751"/>
      <c r="D448" s="730"/>
      <c r="E448" s="719"/>
      <c r="F448" s="2447"/>
      <c r="G448" s="2447"/>
      <c r="H448" s="2447"/>
      <c r="I448" s="2447"/>
      <c r="J448" s="2447"/>
      <c r="K448" s="2447"/>
      <c r="L448" s="2447"/>
      <c r="M448" s="2447"/>
      <c r="N448" s="2447"/>
      <c r="O448" s="2447"/>
      <c r="P448" s="2447"/>
      <c r="Q448" s="2447"/>
      <c r="R448" s="2447"/>
      <c r="S448" s="2447"/>
      <c r="T448" s="2447"/>
      <c r="U448" s="2447"/>
      <c r="V448" s="2447"/>
      <c r="W448" s="2447"/>
      <c r="X448" s="2447"/>
      <c r="Y448" s="2447"/>
      <c r="Z448" s="2447"/>
      <c r="AA448" s="2447"/>
      <c r="AB448" s="2447"/>
      <c r="AC448" s="2447"/>
      <c r="AD448" s="2447"/>
      <c r="AE448" s="2447"/>
      <c r="AL448" s="732"/>
      <c r="AM448" s="570"/>
      <c r="AN448" s="597"/>
    </row>
    <row r="449" spans="1:40" s="550" customFormat="1" ht="12.75" customHeight="1">
      <c r="A449" s="536"/>
      <c r="B449" s="14"/>
      <c r="C449" s="2456" t="s">
        <v>592</v>
      </c>
      <c r="D449" s="245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6" t="s">
        <v>1463</v>
      </c>
      <c r="AG449" s="2536"/>
      <c r="AH449" s="2536"/>
      <c r="AI449" s="2536"/>
      <c r="AJ449" s="2536"/>
      <c r="AK449" s="2536"/>
      <c r="AL449" s="254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72" t="s">
        <v>592</v>
      </c>
      <c r="D453" s="2573"/>
      <c r="E453" s="715" t="s">
        <v>1498</v>
      </c>
      <c r="F453" s="2446" t="s">
        <v>1499</v>
      </c>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c r="AA453" s="2446"/>
      <c r="AB453" s="2446"/>
      <c r="AC453" s="2446"/>
      <c r="AD453" s="2446"/>
      <c r="AE453" s="2446"/>
      <c r="AF453" s="2474" t="s">
        <v>1463</v>
      </c>
      <c r="AG453" s="2474"/>
      <c r="AH453" s="2474"/>
      <c r="AI453" s="2474"/>
      <c r="AJ453" s="2474"/>
      <c r="AK453" s="2474"/>
      <c r="AL453" s="2475"/>
      <c r="AM453" s="570"/>
      <c r="AN453" s="753"/>
    </row>
    <row r="454" spans="1:40" s="550" customFormat="1" ht="12.75" customHeight="1">
      <c r="A454" s="536"/>
      <c r="B454" s="14"/>
      <c r="C454" s="751"/>
      <c r="D454" s="730"/>
      <c r="E454" s="719"/>
      <c r="F454" s="2447"/>
      <c r="G454" s="2447"/>
      <c r="H454" s="2447"/>
      <c r="I454" s="2447"/>
      <c r="J454" s="2447"/>
      <c r="K454" s="2447"/>
      <c r="L454" s="2447"/>
      <c r="M454" s="2447"/>
      <c r="N454" s="2447"/>
      <c r="O454" s="2447"/>
      <c r="P454" s="2447"/>
      <c r="Q454" s="2447"/>
      <c r="R454" s="2447"/>
      <c r="S454" s="2447"/>
      <c r="T454" s="2447"/>
      <c r="U454" s="2447"/>
      <c r="V454" s="2447"/>
      <c r="W454" s="2447"/>
      <c r="X454" s="2447"/>
      <c r="Y454" s="2447"/>
      <c r="Z454" s="2447"/>
      <c r="AA454" s="2447"/>
      <c r="AB454" s="2447"/>
      <c r="AC454" s="2447"/>
      <c r="AD454" s="2447"/>
      <c r="AE454" s="2447"/>
      <c r="AF454" s="591"/>
      <c r="AG454" s="591"/>
      <c r="AH454" s="591"/>
      <c r="AI454" s="591"/>
      <c r="AJ454" s="591"/>
      <c r="AK454" s="591"/>
      <c r="AL454" s="720"/>
      <c r="AM454" s="570"/>
      <c r="AN454" s="754"/>
    </row>
    <row r="455" spans="1:40" s="550" customFormat="1" ht="17.7" customHeight="1">
      <c r="A455" s="536"/>
      <c r="B455" s="14"/>
      <c r="C455" s="756"/>
      <c r="D455" s="723"/>
      <c r="E455" s="724"/>
      <c r="F455" s="2448"/>
      <c r="G455" s="2448"/>
      <c r="H455" s="2448"/>
      <c r="I455" s="2448"/>
      <c r="J455" s="2448"/>
      <c r="K455" s="2448"/>
      <c r="L455" s="2448"/>
      <c r="M455" s="2448"/>
      <c r="N455" s="2448"/>
      <c r="O455" s="2448"/>
      <c r="P455" s="2448"/>
      <c r="Q455" s="2448"/>
      <c r="R455" s="2448"/>
      <c r="S455" s="2448"/>
      <c r="T455" s="2448"/>
      <c r="U455" s="2448"/>
      <c r="V455" s="2448"/>
      <c r="W455" s="2448"/>
      <c r="X455" s="2448"/>
      <c r="Y455" s="2448"/>
      <c r="Z455" s="2448"/>
      <c r="AA455" s="2448"/>
      <c r="AB455" s="2448"/>
      <c r="AC455" s="2448"/>
      <c r="AD455" s="2448"/>
      <c r="AE455" s="244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6" t="s">
        <v>592</v>
      </c>
      <c r="D457" s="2457"/>
      <c r="E457" s="715" t="s">
        <v>1504</v>
      </c>
      <c r="F457" s="2446" t="s">
        <v>1505</v>
      </c>
      <c r="G457" s="2446"/>
      <c r="H457" s="2446"/>
      <c r="I457" s="2446"/>
      <c r="J457" s="2446"/>
      <c r="K457" s="2446"/>
      <c r="L457" s="2446"/>
      <c r="M457" s="2446"/>
      <c r="N457" s="2446"/>
      <c r="O457" s="2446"/>
      <c r="P457" s="2446"/>
      <c r="Q457" s="2446"/>
      <c r="R457" s="2446"/>
      <c r="S457" s="2446"/>
      <c r="T457" s="2446"/>
      <c r="U457" s="2446"/>
      <c r="V457" s="2446"/>
      <c r="W457" s="2446"/>
      <c r="X457" s="2446"/>
      <c r="Y457" s="2446"/>
      <c r="Z457" s="2446"/>
      <c r="AA457" s="2446"/>
      <c r="AB457" s="2446"/>
      <c r="AC457" s="2446"/>
      <c r="AD457" s="2446"/>
      <c r="AE457" s="2446"/>
      <c r="AF457" s="2474" t="s">
        <v>1463</v>
      </c>
      <c r="AG457" s="2474"/>
      <c r="AH457" s="2474"/>
      <c r="AI457" s="2474"/>
      <c r="AJ457" s="2474"/>
      <c r="AK457" s="2474"/>
      <c r="AL457" s="2475"/>
      <c r="AM457" s="570"/>
      <c r="AN457" s="535"/>
    </row>
    <row r="458" spans="1:40" s="550" customFormat="1" ht="12.75" customHeight="1">
      <c r="A458" s="536"/>
      <c r="B458" s="14"/>
      <c r="C458" s="731"/>
      <c r="D458" s="14"/>
      <c r="E458" s="691"/>
      <c r="F458" s="2447"/>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539"/>
      <c r="AG458" s="536"/>
      <c r="AL458" s="732"/>
      <c r="AM458" s="570"/>
      <c r="AN458" s="535"/>
    </row>
    <row r="459" spans="1:40" s="550" customFormat="1" ht="12.75" customHeight="1">
      <c r="A459" s="536"/>
      <c r="B459" s="14"/>
      <c r="C459" s="731"/>
      <c r="D459" s="14"/>
      <c r="E459" s="691"/>
      <c r="F459" s="2447"/>
      <c r="G459" s="2447"/>
      <c r="H459" s="2447"/>
      <c r="I459" s="2447"/>
      <c r="J459" s="2447"/>
      <c r="K459" s="2447"/>
      <c r="L459" s="2447"/>
      <c r="M459" s="2447"/>
      <c r="N459" s="2447"/>
      <c r="O459" s="2447"/>
      <c r="P459" s="2447"/>
      <c r="Q459" s="2447"/>
      <c r="R459" s="2447"/>
      <c r="S459" s="2447"/>
      <c r="T459" s="2447"/>
      <c r="U459" s="2447"/>
      <c r="V459" s="2447"/>
      <c r="W459" s="2447"/>
      <c r="X459" s="2447"/>
      <c r="Y459" s="2447"/>
      <c r="Z459" s="2447"/>
      <c r="AA459" s="2447"/>
      <c r="AB459" s="2447"/>
      <c r="AC459" s="2447"/>
      <c r="AD459" s="2447"/>
      <c r="AE459" s="2447"/>
      <c r="AF459" s="539"/>
      <c r="AG459" s="536"/>
      <c r="AL459" s="732"/>
      <c r="AM459" s="570"/>
      <c r="AN459" s="535"/>
    </row>
    <row r="460" spans="1:40" s="550" customFormat="1" ht="12.75" customHeight="1">
      <c r="A460" s="536"/>
      <c r="B460" s="14"/>
      <c r="C460" s="756"/>
      <c r="D460" s="723"/>
      <c r="E460" s="724"/>
      <c r="F460" s="2448"/>
      <c r="G460" s="2448"/>
      <c r="H460" s="2448"/>
      <c r="I460" s="2448"/>
      <c r="J460" s="2448"/>
      <c r="K460" s="2448"/>
      <c r="L460" s="2448"/>
      <c r="M460" s="2448"/>
      <c r="N460" s="2448"/>
      <c r="O460" s="2448"/>
      <c r="P460" s="2448"/>
      <c r="Q460" s="2448"/>
      <c r="R460" s="2448"/>
      <c r="S460" s="2448"/>
      <c r="T460" s="2448"/>
      <c r="U460" s="2448"/>
      <c r="V460" s="2448"/>
      <c r="W460" s="2448"/>
      <c r="X460" s="2448"/>
      <c r="Y460" s="2448"/>
      <c r="Z460" s="2448"/>
      <c r="AA460" s="2448"/>
      <c r="AB460" s="2448"/>
      <c r="AC460" s="2448"/>
      <c r="AD460" s="2448"/>
      <c r="AE460" s="244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46" t="s">
        <v>1508</v>
      </c>
      <c r="G462" s="2446"/>
      <c r="H462" s="2446"/>
      <c r="I462" s="2446"/>
      <c r="J462" s="2446"/>
      <c r="K462" s="2446"/>
      <c r="L462" s="2446"/>
      <c r="M462" s="2446"/>
      <c r="N462" s="2446"/>
      <c r="O462" s="2446"/>
      <c r="P462" s="2446"/>
      <c r="Q462" s="2446"/>
      <c r="R462" s="2446"/>
      <c r="S462" s="2446"/>
      <c r="T462" s="2446"/>
      <c r="U462" s="2446"/>
      <c r="V462" s="2446"/>
      <c r="W462" s="2446"/>
      <c r="X462" s="2446"/>
      <c r="Y462" s="2446"/>
      <c r="Z462" s="2446"/>
      <c r="AA462" s="2446"/>
      <c r="AB462" s="2446"/>
      <c r="AC462" s="2446"/>
      <c r="AD462" s="2446"/>
      <c r="AE462" s="2446"/>
      <c r="AF462" s="2446"/>
      <c r="AG462" s="744"/>
      <c r="AH462" s="714"/>
      <c r="AI462" s="714"/>
      <c r="AJ462" s="714"/>
      <c r="AK462" s="714"/>
      <c r="AL462" s="745"/>
      <c r="AM462" s="570"/>
      <c r="AN462" s="597"/>
    </row>
    <row r="463" spans="1:40" s="550" customFormat="1" ht="12.75" customHeight="1">
      <c r="A463" s="536"/>
      <c r="B463" s="14"/>
      <c r="C463" s="731"/>
      <c r="D463" s="14"/>
      <c r="E463" s="691"/>
      <c r="F463" s="2447"/>
      <c r="G463" s="2447"/>
      <c r="H463" s="2447"/>
      <c r="I463" s="2447"/>
      <c r="J463" s="2447"/>
      <c r="K463" s="2447"/>
      <c r="L463" s="2447"/>
      <c r="M463" s="2447"/>
      <c r="N463" s="2447"/>
      <c r="O463" s="2447"/>
      <c r="P463" s="2447"/>
      <c r="Q463" s="2447"/>
      <c r="R463" s="2447"/>
      <c r="S463" s="2447"/>
      <c r="T463" s="2447"/>
      <c r="U463" s="2447"/>
      <c r="V463" s="2447"/>
      <c r="W463" s="2447"/>
      <c r="X463" s="2447"/>
      <c r="Y463" s="2447"/>
      <c r="Z463" s="2447"/>
      <c r="AA463" s="2447"/>
      <c r="AB463" s="2447"/>
      <c r="AC463" s="2447"/>
      <c r="AD463" s="2447"/>
      <c r="AE463" s="2447"/>
      <c r="AF463" s="2447"/>
      <c r="AL463" s="732"/>
      <c r="AM463" s="570"/>
      <c r="AN463" s="597"/>
    </row>
    <row r="464" spans="1:40" s="550" customFormat="1" ht="12.75" customHeight="1">
      <c r="A464" s="536"/>
      <c r="B464" s="14"/>
      <c r="C464" s="739"/>
      <c r="F464" s="2447"/>
      <c r="G464" s="2447"/>
      <c r="H464" s="2447"/>
      <c r="I464" s="2447"/>
      <c r="J464" s="2447"/>
      <c r="K464" s="2447"/>
      <c r="L464" s="2447"/>
      <c r="M464" s="2447"/>
      <c r="N464" s="2447"/>
      <c r="O464" s="2447"/>
      <c r="P464" s="2447"/>
      <c r="Q464" s="2447"/>
      <c r="R464" s="2447"/>
      <c r="S464" s="2447"/>
      <c r="T464" s="2447"/>
      <c r="U464" s="2447"/>
      <c r="V464" s="2447"/>
      <c r="W464" s="2447"/>
      <c r="X464" s="2447"/>
      <c r="Y464" s="2447"/>
      <c r="Z464" s="2447"/>
      <c r="AA464" s="2447"/>
      <c r="AB464" s="2447"/>
      <c r="AC464" s="2447"/>
      <c r="AD464" s="2447"/>
      <c r="AE464" s="2447"/>
      <c r="AF464" s="2447"/>
      <c r="AL464" s="732"/>
      <c r="AM464" s="570"/>
      <c r="AN464" s="597"/>
    </row>
    <row r="465" spans="1:58" s="550" customFormat="1" ht="12.75" customHeight="1">
      <c r="A465" s="536"/>
      <c r="B465" s="14"/>
      <c r="C465" s="739"/>
      <c r="F465" s="2447"/>
      <c r="G465" s="2447"/>
      <c r="H465" s="2447"/>
      <c r="I465" s="2447"/>
      <c r="J465" s="2447"/>
      <c r="K465" s="2447"/>
      <c r="L465" s="2447"/>
      <c r="M465" s="2447"/>
      <c r="N465" s="2447"/>
      <c r="O465" s="2447"/>
      <c r="P465" s="2447"/>
      <c r="Q465" s="2447"/>
      <c r="R465" s="2447"/>
      <c r="S465" s="2447"/>
      <c r="T465" s="2447"/>
      <c r="U465" s="2447"/>
      <c r="V465" s="2447"/>
      <c r="W465" s="2447"/>
      <c r="X465" s="2447"/>
      <c r="Y465" s="2447"/>
      <c r="Z465" s="2447"/>
      <c r="AA465" s="2447"/>
      <c r="AB465" s="2447"/>
      <c r="AC465" s="2447"/>
      <c r="AD465" s="2447"/>
      <c r="AE465" s="2447"/>
      <c r="AF465" s="2447"/>
      <c r="AL465" s="732"/>
      <c r="AM465" s="570"/>
      <c r="AN465" s="597"/>
    </row>
    <row r="466" spans="1:58" s="550" customFormat="1" ht="12.75" customHeight="1">
      <c r="A466" s="536"/>
      <c r="B466" s="14"/>
      <c r="C466" s="2456" t="s">
        <v>592</v>
      </c>
      <c r="D466" s="245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8" t="s">
        <v>1463</v>
      </c>
      <c r="AG466" s="2458"/>
      <c r="AH466" s="2458"/>
      <c r="AI466" s="2458"/>
      <c r="AJ466" s="2458"/>
      <c r="AK466" s="2458"/>
      <c r="AL466" s="245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43">
        <f>IF(Application!D214="N/A",AS358,AS360)</f>
        <v>10</v>
      </c>
      <c r="AL469" s="2444"/>
      <c r="AM469" s="244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58" t="s">
        <v>1512</v>
      </c>
      <c r="AF472" s="2458"/>
      <c r="AG472" s="2458"/>
      <c r="AH472" s="2458"/>
      <c r="AI472" s="2458"/>
      <c r="AJ472" s="2458"/>
      <c r="AK472" s="2458"/>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65" t="s">
        <v>592</v>
      </c>
      <c r="D478" s="2466"/>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71" t="s">
        <v>592</v>
      </c>
      <c r="G480" s="2471"/>
      <c r="H480" s="2471"/>
      <c r="I480" s="2471"/>
      <c r="J480" s="2471"/>
      <c r="K480" s="2471"/>
      <c r="L480" s="2471"/>
      <c r="M480" s="2471"/>
      <c r="N480" s="2471"/>
      <c r="O480" s="2471"/>
      <c r="P480" s="2471"/>
      <c r="Q480" s="2471"/>
      <c r="R480" s="2471"/>
      <c r="S480" s="2471"/>
      <c r="T480" s="2471"/>
      <c r="U480" s="2471"/>
      <c r="V480" s="2471"/>
      <c r="W480" s="2471"/>
      <c r="X480" s="2471"/>
      <c r="Y480" s="2471"/>
      <c r="Z480" s="247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72" t="s">
        <v>546</v>
      </c>
      <c r="D482" s="247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51" t="s">
        <v>592</v>
      </c>
      <c r="W485" s="2451"/>
      <c r="X485" s="245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51" t="s">
        <v>592</v>
      </c>
      <c r="W487" s="2451"/>
      <c r="X487" s="245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51" t="s">
        <v>592</v>
      </c>
      <c r="W492" s="2451"/>
      <c r="X492" s="245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70"/>
      <c r="E495" s="247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51" t="s">
        <v>592</v>
      </c>
      <c r="W496" s="2451"/>
      <c r="X496" s="245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51" t="s">
        <v>592</v>
      </c>
      <c r="W498" s="2451"/>
      <c r="X498" s="245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65" t="s">
        <v>592</v>
      </c>
      <c r="D501" s="2466"/>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64" t="s">
        <v>592</v>
      </c>
      <c r="G503" s="2464"/>
      <c r="H503" s="2464"/>
      <c r="I503" s="2464"/>
      <c r="J503" s="2464"/>
      <c r="K503" s="2464"/>
      <c r="L503" s="2464"/>
      <c r="M503" s="2464"/>
      <c r="N503" s="2464"/>
      <c r="O503" s="2464"/>
      <c r="P503" s="2464"/>
      <c r="Q503" s="2464"/>
      <c r="R503" s="2464"/>
      <c r="S503" s="2464"/>
      <c r="T503" s="2464"/>
      <c r="U503" s="2464"/>
      <c r="V503" s="2464"/>
      <c r="W503" s="2464"/>
      <c r="X503" s="2464"/>
      <c r="Y503" s="2464"/>
      <c r="Z503" s="2464"/>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65" t="s">
        <v>592</v>
      </c>
      <c r="D505" s="2466"/>
      <c r="E505" s="761" t="s">
        <v>758</v>
      </c>
      <c r="F505" s="2467" t="s">
        <v>1540</v>
      </c>
      <c r="G505" s="2467"/>
      <c r="H505" s="2467"/>
      <c r="I505" s="2467"/>
      <c r="J505" s="2467"/>
      <c r="K505" s="2467"/>
      <c r="L505" s="2467"/>
      <c r="M505" s="2467"/>
      <c r="N505" s="2467"/>
      <c r="O505" s="2467"/>
      <c r="P505" s="2467"/>
      <c r="Q505" s="2467"/>
      <c r="R505" s="2467"/>
      <c r="S505" s="2467"/>
      <c r="T505" s="2467"/>
      <c r="U505" s="2467"/>
      <c r="V505" s="2467"/>
      <c r="W505" s="2467"/>
      <c r="X505" s="2467"/>
      <c r="Y505" s="2467"/>
      <c r="Z505" s="2467"/>
      <c r="AA505" s="2467"/>
      <c r="AB505" s="2467"/>
      <c r="AC505" s="2467"/>
      <c r="AD505" s="2467"/>
      <c r="AE505" s="246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8"/>
      <c r="G506" s="2468"/>
      <c r="H506" s="2468"/>
      <c r="I506" s="2468"/>
      <c r="J506" s="2468"/>
      <c r="K506" s="2468"/>
      <c r="L506" s="2468"/>
      <c r="M506" s="2468"/>
      <c r="N506" s="2468"/>
      <c r="O506" s="2468"/>
      <c r="P506" s="2468"/>
      <c r="Q506" s="2468"/>
      <c r="R506" s="2468"/>
      <c r="S506" s="2468"/>
      <c r="T506" s="2468"/>
      <c r="U506" s="2468"/>
      <c r="V506" s="2468"/>
      <c r="W506" s="2468"/>
      <c r="X506" s="2468"/>
      <c r="Y506" s="2468"/>
      <c r="Z506" s="2468"/>
      <c r="AA506" s="2468"/>
      <c r="AB506" s="2468"/>
      <c r="AC506" s="2468"/>
      <c r="AD506" s="2468"/>
      <c r="AE506" s="246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9" t="s">
        <v>592</v>
      </c>
      <c r="G508" s="2469"/>
      <c r="H508" s="246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65" t="s">
        <v>592</v>
      </c>
      <c r="D510" s="246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85"/>
      <c r="D512" s="247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6" t="s">
        <v>592</v>
      </c>
      <c r="H513" s="2486"/>
      <c r="I513" s="2486"/>
      <c r="J513" s="2486"/>
      <c r="K513" s="2486"/>
      <c r="L513" s="2486"/>
      <c r="M513" s="2486"/>
      <c r="N513" s="2486"/>
      <c r="O513" s="2486"/>
      <c r="P513" s="2486"/>
      <c r="Q513" s="2486"/>
      <c r="R513" s="2486"/>
      <c r="S513" s="2486"/>
      <c r="T513" s="2486"/>
      <c r="U513" s="2486"/>
      <c r="V513" s="2486"/>
      <c r="W513" s="2486"/>
      <c r="X513" s="2486"/>
      <c r="Y513" s="2486"/>
      <c r="Z513" s="2486"/>
      <c r="AA513" s="2486"/>
      <c r="AB513" s="2486"/>
      <c r="AC513" s="2486"/>
      <c r="AD513" s="2486"/>
      <c r="AE513" s="2486"/>
      <c r="AF513" s="248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7" t="s">
        <v>592</v>
      </c>
      <c r="D515" s="2538"/>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7" t="s">
        <v>592</v>
      </c>
      <c r="D519" s="2538"/>
      <c r="F519" s="795" t="s">
        <v>1548</v>
      </c>
      <c r="G519" s="2447" t="s">
        <v>1549</v>
      </c>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244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8"/>
      <c r="H520" s="2448"/>
      <c r="I520" s="2448"/>
      <c r="J520" s="2448"/>
      <c r="K520" s="2448"/>
      <c r="L520" s="2448"/>
      <c r="M520" s="2448"/>
      <c r="N520" s="2448"/>
      <c r="O520" s="2448"/>
      <c r="P520" s="2448"/>
      <c r="Q520" s="2448"/>
      <c r="R520" s="2448"/>
      <c r="S520" s="2448"/>
      <c r="T520" s="2448"/>
      <c r="U520" s="2448"/>
      <c r="V520" s="2448"/>
      <c r="W520" s="2448"/>
      <c r="X520" s="2448"/>
      <c r="Y520" s="2448"/>
      <c r="Z520" s="2448"/>
      <c r="AA520" s="2448"/>
      <c r="AB520" s="2448"/>
      <c r="AC520" s="2448"/>
      <c r="AD520" s="2448"/>
      <c r="AE520" s="2448"/>
      <c r="AF520" s="244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9" t="s">
        <v>592</v>
      </c>
      <c r="D523" s="2540"/>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1" t="s">
        <v>592</v>
      </c>
      <c r="G524" s="2541"/>
      <c r="H524" s="2541"/>
      <c r="I524" s="2541"/>
      <c r="J524" s="2541"/>
      <c r="K524" s="2541"/>
      <c r="L524" s="2541"/>
      <c r="M524" s="2541"/>
      <c r="N524" s="2541"/>
      <c r="O524" s="2541"/>
      <c r="P524" s="2541"/>
      <c r="Q524" s="2541"/>
      <c r="R524" s="2541"/>
      <c r="S524" s="2541"/>
      <c r="T524" s="2541"/>
      <c r="U524" s="2541"/>
      <c r="V524" s="2541"/>
      <c r="W524" s="2541"/>
      <c r="X524" s="2541"/>
      <c r="Y524" s="2541"/>
      <c r="Z524" s="2541"/>
      <c r="AA524" s="2541"/>
      <c r="AB524" s="2541"/>
      <c r="AC524" s="2541"/>
      <c r="AD524" s="2541"/>
      <c r="AE524" s="2541"/>
      <c r="AF524" s="254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2"/>
      <c r="G525" s="2542"/>
      <c r="H525" s="2542"/>
      <c r="I525" s="2542"/>
      <c r="J525" s="2542"/>
      <c r="K525" s="2542"/>
      <c r="L525" s="2542"/>
      <c r="M525" s="2542"/>
      <c r="N525" s="2542"/>
      <c r="O525" s="2542"/>
      <c r="P525" s="2542"/>
      <c r="Q525" s="2542"/>
      <c r="R525" s="2542"/>
      <c r="S525" s="2542"/>
      <c r="T525" s="2542"/>
      <c r="U525" s="2542"/>
      <c r="V525" s="2542"/>
      <c r="W525" s="2542"/>
      <c r="X525" s="2542"/>
      <c r="Y525" s="2542"/>
      <c r="Z525" s="2542"/>
      <c r="AA525" s="2542"/>
      <c r="AB525" s="2542"/>
      <c r="AC525" s="2542"/>
      <c r="AD525" s="2542"/>
      <c r="AE525" s="2542"/>
      <c r="AF525" s="254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43">
        <f>SUM(AG479:AG524)</f>
        <v>0</v>
      </c>
      <c r="AL535" s="2444"/>
      <c r="AM535" s="244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6" t="s">
        <v>1561</v>
      </c>
      <c r="AF538" s="2476"/>
      <c r="AG538" s="2476"/>
      <c r="AH538" s="2476"/>
      <c r="AI538" s="2476"/>
      <c r="AJ538" s="2476"/>
      <c r="AK538" s="247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7" t="s">
        <v>546</v>
      </c>
      <c r="D541" s="2457"/>
      <c r="E541" s="551"/>
      <c r="F541" s="2479" t="s">
        <v>1562</v>
      </c>
      <c r="G541" s="2480"/>
      <c r="H541" s="2480"/>
      <c r="I541" s="2480"/>
      <c r="J541" s="2480"/>
      <c r="K541" s="2480"/>
      <c r="L541" s="2480"/>
      <c r="M541" s="2480"/>
      <c r="N541" s="2480"/>
      <c r="O541" s="2480"/>
      <c r="P541" s="2480"/>
      <c r="Q541" s="2480"/>
      <c r="R541" s="2480"/>
      <c r="S541" s="2480"/>
      <c r="T541" s="2480"/>
      <c r="U541" s="2480"/>
      <c r="V541" s="2480"/>
      <c r="W541" s="2480"/>
      <c r="X541" s="2480"/>
      <c r="Y541" s="2480"/>
      <c r="Z541" s="2480"/>
      <c r="AA541" s="2480"/>
      <c r="AB541" s="2480"/>
      <c r="AC541" s="2480"/>
      <c r="AD541" s="2480"/>
      <c r="AE541" s="2480"/>
      <c r="AF541" s="2480"/>
      <c r="AG541" s="2480"/>
      <c r="AH541" s="2480"/>
      <c r="AI541" s="2480"/>
      <c r="AJ541" s="2480"/>
      <c r="AK541" s="2480"/>
      <c r="AL541" s="2481"/>
      <c r="AM541" s="595"/>
      <c r="AN541" s="597"/>
    </row>
    <row r="542" spans="1:81" s="550" customFormat="1" ht="12.75" customHeight="1">
      <c r="A542" s="539"/>
      <c r="B542" s="539"/>
      <c r="C542" s="551"/>
      <c r="D542" s="551"/>
      <c r="E542" s="551"/>
      <c r="F542" s="2482"/>
      <c r="G542" s="2483"/>
      <c r="H542" s="2483"/>
      <c r="I542" s="2483"/>
      <c r="J542" s="2483"/>
      <c r="K542" s="2483"/>
      <c r="L542" s="2483"/>
      <c r="M542" s="2483"/>
      <c r="N542" s="2483"/>
      <c r="O542" s="2483"/>
      <c r="P542" s="2483"/>
      <c r="Q542" s="2483"/>
      <c r="R542" s="2483"/>
      <c r="S542" s="2483"/>
      <c r="T542" s="2483"/>
      <c r="U542" s="2483"/>
      <c r="V542" s="2483"/>
      <c r="W542" s="2483"/>
      <c r="X542" s="2483"/>
      <c r="Y542" s="2483"/>
      <c r="Z542" s="2483"/>
      <c r="AA542" s="2483"/>
      <c r="AB542" s="2483"/>
      <c r="AC542" s="2483"/>
      <c r="AD542" s="2483"/>
      <c r="AE542" s="2483"/>
      <c r="AF542" s="2483"/>
      <c r="AG542" s="2483"/>
      <c r="AH542" s="2483"/>
      <c r="AI542" s="2483"/>
      <c r="AJ542" s="2483"/>
      <c r="AK542" s="2483"/>
      <c r="AL542" s="248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7" t="s">
        <v>592</v>
      </c>
      <c r="D544" s="245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5" t="s">
        <v>1564</v>
      </c>
      <c r="G545" s="2436"/>
      <c r="H545" s="2436"/>
      <c r="I545" s="2436"/>
      <c r="J545" s="2436"/>
      <c r="K545" s="2436"/>
      <c r="L545" s="2436"/>
      <c r="M545" s="2436"/>
      <c r="N545" s="2436"/>
      <c r="O545" s="2436"/>
      <c r="P545" s="2436"/>
      <c r="Q545" s="2436"/>
      <c r="R545" s="2436"/>
      <c r="S545" s="2436"/>
      <c r="T545" s="2436"/>
      <c r="U545" s="2436"/>
      <c r="V545" s="2436"/>
      <c r="W545" s="2436"/>
      <c r="X545" s="2436"/>
      <c r="Y545" s="2436"/>
      <c r="Z545" s="2436"/>
      <c r="AA545" s="2436"/>
      <c r="AB545" s="2436"/>
      <c r="AC545" s="2436"/>
      <c r="AD545" s="2436"/>
      <c r="AE545" s="2436"/>
      <c r="AF545" s="2436"/>
      <c r="AG545" s="2436"/>
      <c r="AH545" s="2436"/>
      <c r="AI545" s="2436"/>
      <c r="AJ545" s="2436"/>
      <c r="AK545" s="2436"/>
      <c r="AL545" s="2437"/>
      <c r="AM545" s="595"/>
      <c r="AN545" s="597"/>
      <c r="AS545" s="870"/>
      <c r="AT545" s="870"/>
      <c r="AU545" s="870"/>
      <c r="AV545" s="870"/>
      <c r="AW545" s="870"/>
    </row>
    <row r="546" spans="1:49" s="550" customFormat="1" ht="12.75" customHeight="1">
      <c r="B546" s="806"/>
      <c r="C546" s="806"/>
      <c r="D546" s="806"/>
      <c r="E546" s="806"/>
      <c r="F546" s="2435"/>
      <c r="G546" s="2436"/>
      <c r="H546" s="2436"/>
      <c r="I546" s="2436"/>
      <c r="J546" s="2436"/>
      <c r="K546" s="2436"/>
      <c r="L546" s="2436"/>
      <c r="M546" s="2436"/>
      <c r="N546" s="2436"/>
      <c r="O546" s="2436"/>
      <c r="P546" s="2436"/>
      <c r="Q546" s="2436"/>
      <c r="R546" s="2436"/>
      <c r="S546" s="2436"/>
      <c r="T546" s="2436"/>
      <c r="U546" s="2436"/>
      <c r="V546" s="2436"/>
      <c r="W546" s="2436"/>
      <c r="X546" s="2436"/>
      <c r="Y546" s="2436"/>
      <c r="Z546" s="2436"/>
      <c r="AA546" s="2436"/>
      <c r="AB546" s="2436"/>
      <c r="AC546" s="2436"/>
      <c r="AD546" s="2436"/>
      <c r="AE546" s="2436"/>
      <c r="AF546" s="2436"/>
      <c r="AG546" s="2436"/>
      <c r="AH546" s="2436"/>
      <c r="AI546" s="2436"/>
      <c r="AJ546" s="2436"/>
      <c r="AK546" s="2436"/>
      <c r="AL546" s="243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5" t="s">
        <v>1565</v>
      </c>
      <c r="G548" s="2436"/>
      <c r="H548" s="2436"/>
      <c r="I548" s="2436"/>
      <c r="J548" s="2436"/>
      <c r="K548" s="2436"/>
      <c r="L548" s="2436"/>
      <c r="M548" s="2436"/>
      <c r="N548" s="2436"/>
      <c r="O548" s="2436"/>
      <c r="P548" s="2436"/>
      <c r="Q548" s="2436"/>
      <c r="R548" s="2436"/>
      <c r="S548" s="2436"/>
      <c r="T548" s="2436"/>
      <c r="U548" s="2436"/>
      <c r="V548" s="2436"/>
      <c r="W548" s="2436"/>
      <c r="X548" s="2436"/>
      <c r="Y548" s="2436"/>
      <c r="Z548" s="2436"/>
      <c r="AA548" s="2436"/>
      <c r="AB548" s="2436"/>
      <c r="AC548" s="2436"/>
      <c r="AD548" s="2436"/>
      <c r="AE548" s="2436"/>
      <c r="AF548" s="2436"/>
      <c r="AG548" s="2436"/>
      <c r="AH548" s="2436"/>
      <c r="AI548" s="2436"/>
      <c r="AJ548" s="2436"/>
      <c r="AK548" s="2436"/>
      <c r="AL548" s="813"/>
      <c r="AM548" s="595"/>
      <c r="AN548" s="597"/>
    </row>
    <row r="549" spans="1:49" s="550" customFormat="1" ht="12.75" customHeight="1">
      <c r="B549" s="806"/>
      <c r="C549" s="806"/>
      <c r="D549" s="806"/>
      <c r="E549" s="806"/>
      <c r="F549" s="2438"/>
      <c r="G549" s="2439"/>
      <c r="H549" s="2439"/>
      <c r="I549" s="2439"/>
      <c r="J549" s="2439"/>
      <c r="K549" s="2439"/>
      <c r="L549" s="2439"/>
      <c r="M549" s="2439"/>
      <c r="N549" s="2439"/>
      <c r="O549" s="2439"/>
      <c r="P549" s="2439"/>
      <c r="Q549" s="2439"/>
      <c r="R549" s="2439"/>
      <c r="S549" s="2439"/>
      <c r="T549" s="2439"/>
      <c r="U549" s="2439"/>
      <c r="V549" s="2439"/>
      <c r="W549" s="2439"/>
      <c r="X549" s="2439"/>
      <c r="Y549" s="2439"/>
      <c r="Z549" s="2439"/>
      <c r="AA549" s="2439"/>
      <c r="AB549" s="2439"/>
      <c r="AC549" s="2439"/>
      <c r="AD549" s="2439"/>
      <c r="AE549" s="2439"/>
      <c r="AF549" s="2439"/>
      <c r="AG549" s="2439"/>
      <c r="AH549" s="2439"/>
      <c r="AI549" s="2439"/>
      <c r="AJ549" s="2439"/>
      <c r="AK549" s="243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34">
        <f>Application!AJ992</f>
        <v>22246926</v>
      </c>
      <c r="AQ550" s="2434"/>
      <c r="AR550" s="2434"/>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40">
        <f>'Sources and Uses Budget'!S107+'Sources and Uses Budget'!T107</f>
        <v>35957052</v>
      </c>
      <c r="AG551" s="2440"/>
      <c r="AH551" s="2440"/>
      <c r="AI551" s="2440"/>
      <c r="AJ551" s="2440"/>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41">
        <f>IFERROR(AP559,0)</f>
        <v>44701457.680000007</v>
      </c>
      <c r="AG552" s="2441"/>
      <c r="AH552" s="2441"/>
      <c r="AI552" s="2441"/>
      <c r="AJ552" s="2441"/>
      <c r="AK552" s="595"/>
      <c r="AL552" s="595"/>
      <c r="AM552" s="595"/>
      <c r="AN552" s="597"/>
      <c r="AP552" s="2434">
        <f>Application!AJ1045</f>
        <v>5784200.7599999998</v>
      </c>
      <c r="AQ552" s="2434"/>
      <c r="AR552" s="243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42">
        <f>IFERROR(ROUNDDOWN(IF(C544="YES",((1-(AF551/AF552))*2),(1-(AF551/AF552))),2),0)</f>
        <v>0.19</v>
      </c>
      <c r="AG553" s="2442"/>
      <c r="AH553" s="2442"/>
      <c r="AI553" s="2442"/>
      <c r="AJ553" s="2442"/>
      <c r="AK553" s="595"/>
      <c r="AL553" s="595"/>
      <c r="AM553" s="595"/>
      <c r="AN553" s="597"/>
      <c r="AP553" s="2430">
        <f>Application!AJ1049</f>
        <v>4894323.72</v>
      </c>
      <c r="AQ553" s="2430"/>
      <c r="AR553" s="2430"/>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9">
        <f>IF(((AP552+AP553)/AP550)&gt;0.8,0.8,((AP552+AP553)/AP550))</f>
        <v>0.48000000000000004</v>
      </c>
      <c r="AQ554" s="2449"/>
      <c r="AR554" s="2449"/>
      <c r="AS554" s="550" t="s">
        <v>2172</v>
      </c>
    </row>
    <row r="555" spans="1:49" s="550" customFormat="1" ht="12.75" customHeight="1">
      <c r="A555" s="624"/>
      <c r="B555" s="2516" t="s">
        <v>2032</v>
      </c>
      <c r="C555" s="2517"/>
      <c r="D555" s="2517"/>
      <c r="E555" s="2517"/>
      <c r="F555" s="2517"/>
      <c r="G555" s="2517"/>
      <c r="H555" s="2517"/>
      <c r="I555" s="2517"/>
      <c r="J555" s="2517"/>
      <c r="K555" s="2517"/>
      <c r="L555" s="2517"/>
      <c r="M555" s="2517"/>
      <c r="N555" s="2517"/>
      <c r="O555" s="2517"/>
      <c r="P555" s="2517"/>
      <c r="Q555" s="2517"/>
      <c r="R555" s="2517"/>
      <c r="S555" s="2517"/>
      <c r="T555" s="2517"/>
      <c r="U555" s="2517"/>
      <c r="V555" s="2517"/>
      <c r="W555" s="2517"/>
      <c r="X555" s="2517"/>
      <c r="Y555" s="2517"/>
      <c r="Z555" s="2517"/>
      <c r="AA555" s="2517"/>
      <c r="AB555" s="2517"/>
      <c r="AC555" s="2517"/>
      <c r="AD555" s="2517"/>
      <c r="AE555" s="2517"/>
      <c r="AF555" s="2517"/>
      <c r="AG555" s="2517"/>
      <c r="AH555" s="2517"/>
      <c r="AI555" s="2517"/>
      <c r="AJ555" s="2518"/>
      <c r="AK555" s="595"/>
      <c r="AL555" s="595"/>
      <c r="AM555" s="595"/>
      <c r="AN555" s="597"/>
    </row>
    <row r="556" spans="1:49" s="550" customFormat="1" ht="12.75" customHeight="1">
      <c r="A556" s="624"/>
      <c r="B556" s="2519"/>
      <c r="C556" s="2520"/>
      <c r="D556" s="2520"/>
      <c r="E556" s="2520"/>
      <c r="F556" s="2520"/>
      <c r="G556" s="2520"/>
      <c r="H556" s="2520"/>
      <c r="I556" s="2520"/>
      <c r="J556" s="2520"/>
      <c r="K556" s="2520"/>
      <c r="L556" s="2520"/>
      <c r="M556" s="2520"/>
      <c r="N556" s="2520"/>
      <c r="O556" s="2520"/>
      <c r="P556" s="2520"/>
      <c r="Q556" s="2520"/>
      <c r="R556" s="2520"/>
      <c r="S556" s="2520"/>
      <c r="T556" s="2520"/>
      <c r="U556" s="2520"/>
      <c r="V556" s="2520"/>
      <c r="W556" s="2520"/>
      <c r="X556" s="2520"/>
      <c r="Y556" s="2520"/>
      <c r="Z556" s="2520"/>
      <c r="AA556" s="2520"/>
      <c r="AB556" s="2520"/>
      <c r="AC556" s="2520"/>
      <c r="AD556" s="2520"/>
      <c r="AE556" s="2520"/>
      <c r="AF556" s="2520"/>
      <c r="AG556" s="2520"/>
      <c r="AH556" s="2520"/>
      <c r="AI556" s="2520"/>
      <c r="AJ556" s="2521"/>
      <c r="AK556" s="595"/>
      <c r="AL556" s="595"/>
      <c r="AM556" s="595"/>
      <c r="AN556" s="597"/>
      <c r="AP556" s="2434">
        <f>AP557-AP552-AP553</f>
        <v>34022933.200000003</v>
      </c>
      <c r="AQ556" s="2450"/>
      <c r="AR556" s="2450"/>
      <c r="AS556" s="550" t="s">
        <v>2174</v>
      </c>
    </row>
    <row r="557" spans="1:49" s="550" customFormat="1" ht="12.75" customHeight="1">
      <c r="A557" s="624"/>
      <c r="B557" s="2522"/>
      <c r="C557" s="2523"/>
      <c r="D557" s="2523"/>
      <c r="E557" s="2523"/>
      <c r="F557" s="2523"/>
      <c r="G557" s="2523"/>
      <c r="H557" s="2523"/>
      <c r="I557" s="2523"/>
      <c r="J557" s="2523"/>
      <c r="K557" s="2523"/>
      <c r="L557" s="2523"/>
      <c r="M557" s="2523"/>
      <c r="N557" s="2523"/>
      <c r="O557" s="2523"/>
      <c r="P557" s="2523"/>
      <c r="Q557" s="2523"/>
      <c r="R557" s="2523"/>
      <c r="S557" s="2523"/>
      <c r="T557" s="2523"/>
      <c r="U557" s="2523"/>
      <c r="V557" s="2523"/>
      <c r="W557" s="2523"/>
      <c r="X557" s="2523"/>
      <c r="Y557" s="2523"/>
      <c r="Z557" s="2523"/>
      <c r="AA557" s="2523"/>
      <c r="AB557" s="2523"/>
      <c r="AC557" s="2523"/>
      <c r="AD557" s="2523"/>
      <c r="AE557" s="2523"/>
      <c r="AF557" s="2523"/>
      <c r="AG557" s="2523"/>
      <c r="AH557" s="2523"/>
      <c r="AI557" s="2523"/>
      <c r="AJ557" s="2524"/>
      <c r="AK557" s="595"/>
      <c r="AL557" s="595"/>
      <c r="AM557" s="595"/>
      <c r="AN557" s="597"/>
      <c r="AP557" s="2434">
        <f>Application!AJ1053</f>
        <v>44701457.68</v>
      </c>
      <c r="AQ557" s="2434"/>
      <c r="AR557" s="243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25">
        <f>IFERROR(IF(AND(C541="N/A",C544="N/A"),0,IF(AF553=0,0,IF((AF553*100)&gt;12,12,(AF553*100)))),0)</f>
        <v>12</v>
      </c>
      <c r="AL559" s="2525"/>
      <c r="AM559" s="2526"/>
      <c r="AN559" s="597"/>
      <c r="AP559" s="2419">
        <f>AP556+(AP550*AP554)</f>
        <v>44701457.680000007</v>
      </c>
      <c r="AQ559" s="2420"/>
      <c r="AR559" s="242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6" t="s">
        <v>1315</v>
      </c>
      <c r="AF562" s="2476"/>
      <c r="AG562" s="2476"/>
      <c r="AH562" s="2476"/>
      <c r="AI562" s="2476"/>
      <c r="AJ562" s="2476"/>
      <c r="AK562" s="247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6" t="s">
        <v>2023</v>
      </c>
      <c r="C564" s="2436"/>
      <c r="D564" s="2436"/>
      <c r="E564" s="2436"/>
      <c r="F564" s="2436"/>
      <c r="G564" s="2436"/>
      <c r="H564" s="2436"/>
      <c r="I564" s="2436"/>
      <c r="J564" s="2436"/>
      <c r="K564" s="2436"/>
      <c r="L564" s="2436"/>
      <c r="M564" s="2436"/>
      <c r="N564" s="2436"/>
      <c r="O564" s="2436"/>
      <c r="P564" s="2436"/>
      <c r="Q564" s="2436"/>
      <c r="R564" s="2436"/>
      <c r="S564" s="2436"/>
      <c r="T564" s="2436"/>
      <c r="U564" s="2436"/>
      <c r="V564" s="2436"/>
      <c r="W564" s="2436"/>
      <c r="X564" s="2436"/>
      <c r="Y564" s="2436"/>
      <c r="Z564" s="2436"/>
      <c r="AA564" s="2436"/>
      <c r="AB564" s="2436"/>
      <c r="AC564" s="2436"/>
      <c r="AD564" s="2436"/>
      <c r="AE564" s="2436"/>
      <c r="AF564" s="2436"/>
      <c r="AG564" s="2436"/>
      <c r="AH564" s="2436"/>
      <c r="AI564" s="2436"/>
      <c r="AJ564" s="2436"/>
      <c r="AK564" s="642"/>
      <c r="AL564" s="573"/>
      <c r="AM564" s="603"/>
      <c r="AN564" s="597"/>
    </row>
    <row r="565" spans="1:42" s="550" customFormat="1" ht="12.75" customHeight="1">
      <c r="A565" s="603"/>
      <c r="B565" s="2436"/>
      <c r="C565" s="2436"/>
      <c r="D565" s="2436"/>
      <c r="E565" s="2436"/>
      <c r="F565" s="2436"/>
      <c r="G565" s="2436"/>
      <c r="H565" s="2436"/>
      <c r="I565" s="2436"/>
      <c r="J565" s="2436"/>
      <c r="K565" s="2436"/>
      <c r="L565" s="2436"/>
      <c r="M565" s="2436"/>
      <c r="N565" s="2436"/>
      <c r="O565" s="2436"/>
      <c r="P565" s="2436"/>
      <c r="Q565" s="2436"/>
      <c r="R565" s="2436"/>
      <c r="S565" s="2436"/>
      <c r="T565" s="2436"/>
      <c r="U565" s="2436"/>
      <c r="V565" s="2436"/>
      <c r="W565" s="2436"/>
      <c r="X565" s="2436"/>
      <c r="Y565" s="2436"/>
      <c r="Z565" s="2436"/>
      <c r="AA565" s="2436"/>
      <c r="AB565" s="2436"/>
      <c r="AC565" s="2436"/>
      <c r="AD565" s="2436"/>
      <c r="AE565" s="2436"/>
      <c r="AF565" s="2436"/>
      <c r="AG565" s="2436"/>
      <c r="AH565" s="2436"/>
      <c r="AI565" s="2436"/>
      <c r="AJ565" s="2436"/>
      <c r="AK565" s="642"/>
      <c r="AL565" s="573"/>
      <c r="AM565" s="603"/>
      <c r="AN565" s="597"/>
    </row>
    <row r="566" spans="1:42" s="550" customFormat="1" ht="12.75" customHeight="1">
      <c r="A566" s="603"/>
      <c r="B566" s="2436"/>
      <c r="C566" s="2436"/>
      <c r="D566" s="2436"/>
      <c r="E566" s="2436"/>
      <c r="F566" s="2436"/>
      <c r="G566" s="2436"/>
      <c r="H566" s="2436"/>
      <c r="I566" s="2436"/>
      <c r="J566" s="2436"/>
      <c r="K566" s="2436"/>
      <c r="L566" s="2436"/>
      <c r="M566" s="2436"/>
      <c r="N566" s="2436"/>
      <c r="O566" s="2436"/>
      <c r="P566" s="2436"/>
      <c r="Q566" s="2436"/>
      <c r="R566" s="2436"/>
      <c r="S566" s="2436"/>
      <c r="T566" s="2436"/>
      <c r="U566" s="2436"/>
      <c r="V566" s="2436"/>
      <c r="W566" s="2436"/>
      <c r="X566" s="2436"/>
      <c r="Y566" s="2436"/>
      <c r="Z566" s="2436"/>
      <c r="AA566" s="2436"/>
      <c r="AB566" s="2436"/>
      <c r="AC566" s="2436"/>
      <c r="AD566" s="2436"/>
      <c r="AE566" s="2436"/>
      <c r="AF566" s="2436"/>
      <c r="AG566" s="2436"/>
      <c r="AH566" s="2436"/>
      <c r="AI566" s="2436"/>
      <c r="AJ566" s="2436"/>
      <c r="AK566" s="642"/>
      <c r="AL566" s="573"/>
      <c r="AM566" s="603"/>
      <c r="AN566" s="597"/>
    </row>
    <row r="567" spans="1:42" s="550" customFormat="1" ht="12.75" customHeight="1">
      <c r="A567" s="603"/>
      <c r="B567" s="2436"/>
      <c r="C567" s="2436"/>
      <c r="D567" s="2436"/>
      <c r="E567" s="2436"/>
      <c r="F567" s="2436"/>
      <c r="G567" s="2436"/>
      <c r="H567" s="2436"/>
      <c r="I567" s="2436"/>
      <c r="J567" s="2436"/>
      <c r="K567" s="2436"/>
      <c r="L567" s="2436"/>
      <c r="M567" s="2436"/>
      <c r="N567" s="2436"/>
      <c r="O567" s="2436"/>
      <c r="P567" s="2436"/>
      <c r="Q567" s="2436"/>
      <c r="R567" s="2436"/>
      <c r="S567" s="2436"/>
      <c r="T567" s="2436"/>
      <c r="U567" s="2436"/>
      <c r="V567" s="2436"/>
      <c r="W567" s="2436"/>
      <c r="X567" s="2436"/>
      <c r="Y567" s="2436"/>
      <c r="Z567" s="2436"/>
      <c r="AA567" s="2436"/>
      <c r="AB567" s="2436"/>
      <c r="AC567" s="2436"/>
      <c r="AD567" s="2436"/>
      <c r="AE567" s="2436"/>
      <c r="AF567" s="2436"/>
      <c r="AG567" s="2436"/>
      <c r="AH567" s="2436"/>
      <c r="AI567" s="2436"/>
      <c r="AJ567" s="2436"/>
      <c r="AK567" s="642"/>
      <c r="AL567" s="573"/>
      <c r="AM567" s="603"/>
      <c r="AN567" s="597"/>
    </row>
    <row r="568" spans="1:42" s="550" customFormat="1" ht="12.75" customHeight="1">
      <c r="A568" s="603"/>
      <c r="B568" s="2436"/>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6"/>
      <c r="AK568" s="642"/>
      <c r="AL568" s="573"/>
      <c r="AM568" s="603"/>
      <c r="AN568" s="597"/>
    </row>
    <row r="569" spans="1:42" s="550" customFormat="1" ht="12.75" customHeight="1">
      <c r="A569" s="603"/>
      <c r="B569" s="2436"/>
      <c r="C569" s="2436"/>
      <c r="D569" s="2436"/>
      <c r="E569" s="2436"/>
      <c r="F569" s="2436"/>
      <c r="G569" s="2436"/>
      <c r="H569" s="2436"/>
      <c r="I569" s="2436"/>
      <c r="J569" s="2436"/>
      <c r="K569" s="2436"/>
      <c r="L569" s="2436"/>
      <c r="M569" s="2436"/>
      <c r="N569" s="2436"/>
      <c r="O569" s="2436"/>
      <c r="P569" s="2436"/>
      <c r="Q569" s="2436"/>
      <c r="R569" s="2436"/>
      <c r="S569" s="2436"/>
      <c r="T569" s="2436"/>
      <c r="U569" s="2436"/>
      <c r="V569" s="2436"/>
      <c r="W569" s="2436"/>
      <c r="X569" s="2436"/>
      <c r="Y569" s="2436"/>
      <c r="Z569" s="2436"/>
      <c r="AA569" s="2436"/>
      <c r="AB569" s="2436"/>
      <c r="AC569" s="2436"/>
      <c r="AD569" s="2436"/>
      <c r="AE569" s="2436"/>
      <c r="AF569" s="2436"/>
      <c r="AG569" s="2436"/>
      <c r="AH569" s="2436"/>
      <c r="AI569" s="2436"/>
      <c r="AJ569" s="2436"/>
      <c r="AK569" s="642"/>
      <c r="AL569" s="573"/>
      <c r="AM569" s="603"/>
      <c r="AN569" s="597"/>
    </row>
    <row r="570" spans="1:42" s="550" customFormat="1" ht="12.75" customHeight="1">
      <c r="A570" s="603"/>
      <c r="B570" s="2436"/>
      <c r="C570" s="2436"/>
      <c r="D570" s="2436"/>
      <c r="E570" s="2436"/>
      <c r="F570" s="2436"/>
      <c r="G570" s="2436"/>
      <c r="H570" s="2436"/>
      <c r="I570" s="2436"/>
      <c r="J570" s="2436"/>
      <c r="K570" s="2436"/>
      <c r="L570" s="2436"/>
      <c r="M570" s="2436"/>
      <c r="N570" s="2436"/>
      <c r="O570" s="2436"/>
      <c r="P570" s="2436"/>
      <c r="Q570" s="2436"/>
      <c r="R570" s="2436"/>
      <c r="S570" s="2436"/>
      <c r="T570" s="2436"/>
      <c r="U570" s="2436"/>
      <c r="V570" s="2436"/>
      <c r="W570" s="2436"/>
      <c r="X570" s="2436"/>
      <c r="Y570" s="2436"/>
      <c r="Z570" s="2436"/>
      <c r="AA570" s="2436"/>
      <c r="AB570" s="2436"/>
      <c r="AC570" s="2436"/>
      <c r="AD570" s="2436"/>
      <c r="AE570" s="2436"/>
      <c r="AF570" s="2436"/>
      <c r="AG570" s="2436"/>
      <c r="AH570" s="2436"/>
      <c r="AI570" s="2436"/>
      <c r="AJ570" s="2436"/>
      <c r="AK570" s="642"/>
      <c r="AL570" s="573"/>
      <c r="AM570" s="603"/>
      <c r="AN570" s="597"/>
    </row>
    <row r="571" spans="1:42" ht="12.75" customHeight="1">
      <c r="A571" s="603"/>
      <c r="B571" s="2436"/>
      <c r="C571" s="2436"/>
      <c r="D571" s="2436"/>
      <c r="E571" s="2436"/>
      <c r="F571" s="2436"/>
      <c r="G571" s="2436"/>
      <c r="H571" s="2436"/>
      <c r="I571" s="2436"/>
      <c r="J571" s="2436"/>
      <c r="K571" s="2436"/>
      <c r="L571" s="2436"/>
      <c r="M571" s="2436"/>
      <c r="N571" s="2436"/>
      <c r="O571" s="2436"/>
      <c r="P571" s="2436"/>
      <c r="Q571" s="2436"/>
      <c r="R571" s="2436"/>
      <c r="S571" s="2436"/>
      <c r="T571" s="2436"/>
      <c r="U571" s="2436"/>
      <c r="V571" s="2436"/>
      <c r="W571" s="2436"/>
      <c r="X571" s="2436"/>
      <c r="Y571" s="2436"/>
      <c r="Z571" s="2436"/>
      <c r="AA571" s="2436"/>
      <c r="AB571" s="2436"/>
      <c r="AC571" s="2436"/>
      <c r="AD571" s="2436"/>
      <c r="AE571" s="2436"/>
      <c r="AF571" s="2436"/>
      <c r="AG571" s="2436"/>
      <c r="AH571" s="2436"/>
      <c r="AI571" s="2436"/>
      <c r="AJ571" s="2436"/>
      <c r="AK571" s="642"/>
      <c r="AL571" s="573"/>
      <c r="AM571" s="603"/>
    </row>
    <row r="572" spans="1:42" s="550" customFormat="1" ht="12.75" customHeight="1">
      <c r="B572" s="2436"/>
      <c r="C572" s="2436"/>
      <c r="D572" s="2436"/>
      <c r="E572" s="2436"/>
      <c r="F572" s="2436"/>
      <c r="G572" s="2436"/>
      <c r="H572" s="2436"/>
      <c r="I572" s="2436"/>
      <c r="J572" s="2436"/>
      <c r="K572" s="2436"/>
      <c r="L572" s="2436"/>
      <c r="M572" s="2436"/>
      <c r="N572" s="2436"/>
      <c r="O572" s="2436"/>
      <c r="P572" s="2436"/>
      <c r="Q572" s="2436"/>
      <c r="R572" s="2436"/>
      <c r="S572" s="2436"/>
      <c r="T572" s="2436"/>
      <c r="U572" s="2436"/>
      <c r="V572" s="2436"/>
      <c r="W572" s="2436"/>
      <c r="X572" s="2436"/>
      <c r="Y572" s="2436"/>
      <c r="Z572" s="2436"/>
      <c r="AA572" s="2436"/>
      <c r="AB572" s="2436"/>
      <c r="AC572" s="2436"/>
      <c r="AD572" s="2436"/>
      <c r="AE572" s="2436"/>
      <c r="AF572" s="2436"/>
      <c r="AG572" s="2436"/>
      <c r="AH572" s="2436"/>
      <c r="AI572" s="2436"/>
      <c r="AJ572" s="243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6" t="s">
        <v>1339</v>
      </c>
      <c r="AG578" s="2536"/>
      <c r="AH578" s="2536"/>
      <c r="AI578" s="2536"/>
      <c r="AJ578" s="2536"/>
      <c r="AK578" s="2536"/>
      <c r="AL578" s="2536"/>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6" t="s">
        <v>1397</v>
      </c>
      <c r="AG585" s="2536"/>
      <c r="AH585" s="2536"/>
      <c r="AI585" s="2536"/>
      <c r="AJ585" s="2536"/>
      <c r="AK585" s="2536"/>
      <c r="AL585" s="2536"/>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6" t="s">
        <v>1379</v>
      </c>
      <c r="AG591" s="2536"/>
      <c r="AH591" s="2536"/>
      <c r="AI591" s="2536"/>
      <c r="AJ591" s="2536"/>
      <c r="AK591" s="2536"/>
      <c r="AL591" s="2536"/>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6" t="s">
        <v>1400</v>
      </c>
      <c r="AG597" s="2536"/>
      <c r="AH597" s="2536"/>
      <c r="AI597" s="2536"/>
      <c r="AJ597" s="2536"/>
      <c r="AK597" s="2536"/>
      <c r="AL597" s="2536"/>
      <c r="AN597" s="597"/>
      <c r="AO597" s="550" t="str">
        <f>X634</f>
        <v>Yes</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52" t="s">
        <v>1185</v>
      </c>
      <c r="P601" s="2552"/>
      <c r="Q601" s="2552"/>
      <c r="R601" s="2552"/>
      <c r="S601" s="2552"/>
      <c r="T601" s="2552"/>
      <c r="U601" s="2552"/>
      <c r="V601" s="2552"/>
      <c r="W601" s="2552"/>
      <c r="X601" s="2552"/>
      <c r="Y601" s="2552"/>
      <c r="Z601" s="2552"/>
      <c r="AA601" s="2552"/>
      <c r="AB601" s="255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6" t="s">
        <v>1353</v>
      </c>
      <c r="AG603" s="2536"/>
      <c r="AH603" s="2536"/>
      <c r="AI603" s="2536"/>
      <c r="AJ603" s="2536"/>
      <c r="AK603" s="2536"/>
      <c r="AL603" s="2536"/>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60" t="s">
        <v>688</v>
      </c>
      <c r="I606" s="2460"/>
      <c r="J606" s="936"/>
      <c r="K606" s="936"/>
      <c r="L606" s="936"/>
      <c r="N606" s="22"/>
      <c r="O606" s="22"/>
      <c r="P606" s="22"/>
      <c r="Q606" s="1151" t="s">
        <v>2177</v>
      </c>
      <c r="R606" s="2553"/>
      <c r="S606" s="2553"/>
      <c r="T606" s="2553"/>
      <c r="U606" s="2553"/>
      <c r="V606" s="2553"/>
      <c r="W606" s="255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4" t="str">
        <f>IF(AND(H606="(i)",NOT(AP582)),AO599,IF(AND(H606="(iv)",OR(R606=AO595,R606=AO594),NOT(AP583)),AO600,""))</f>
        <v/>
      </c>
      <c r="Z607" s="2554"/>
      <c r="AA607" s="2554"/>
      <c r="AB607" s="2554"/>
      <c r="AC607" s="2554"/>
      <c r="AD607" s="2554"/>
      <c r="AE607" s="2554"/>
      <c r="AF607" s="2554"/>
      <c r="AG607" s="2554"/>
      <c r="AH607" s="2554"/>
      <c r="AI607" s="2554"/>
      <c r="AJ607" s="2554"/>
      <c r="AK607" s="2554"/>
      <c r="AL607" s="2554"/>
      <c r="AM607" s="255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4"/>
      <c r="Z608" s="2554"/>
      <c r="AA608" s="2554"/>
      <c r="AB608" s="2554"/>
      <c r="AC608" s="2554"/>
      <c r="AD608" s="2554"/>
      <c r="AE608" s="2554"/>
      <c r="AF608" s="2554"/>
      <c r="AG608" s="2554"/>
      <c r="AH608" s="2554"/>
      <c r="AI608" s="2554"/>
      <c r="AJ608" s="2554"/>
      <c r="AK608" s="2554"/>
      <c r="AL608" s="2554"/>
      <c r="AM608" s="255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51" t="s">
        <v>592</v>
      </c>
      <c r="J614" s="2551"/>
      <c r="K614" s="2551"/>
      <c r="L614" s="2551"/>
      <c r="M614" s="2551"/>
      <c r="N614" s="2551"/>
      <c r="O614" s="2551"/>
      <c r="P614" s="2551"/>
      <c r="Q614" s="2551"/>
      <c r="R614" s="2551"/>
      <c r="S614" s="2551"/>
      <c r="T614" s="2551"/>
      <c r="U614" s="2551"/>
      <c r="V614" s="2551"/>
      <c r="W614" s="2551"/>
      <c r="X614" s="2551"/>
      <c r="Y614" s="2551"/>
      <c r="Z614" s="2551"/>
      <c r="AA614" s="2551"/>
      <c r="AB614" s="2551"/>
      <c r="AC614" s="2551"/>
      <c r="AD614" s="2551"/>
      <c r="AE614" s="255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08" t="s">
        <v>592</v>
      </c>
      <c r="C616" s="2408"/>
      <c r="D616" s="642"/>
      <c r="E616" s="2436" t="s">
        <v>1404</v>
      </c>
      <c r="F616" s="2436"/>
      <c r="G616" s="2436"/>
      <c r="H616" s="2436"/>
      <c r="I616" s="2436"/>
      <c r="J616" s="2436"/>
      <c r="K616" s="2436"/>
      <c r="L616" s="2436"/>
      <c r="M616" s="2436"/>
      <c r="N616" s="2436"/>
      <c r="O616" s="2436"/>
      <c r="P616" s="2436"/>
      <c r="Q616" s="2436"/>
      <c r="R616" s="2436"/>
      <c r="S616" s="2436"/>
      <c r="T616" s="2436"/>
      <c r="U616" s="2436"/>
      <c r="V616" s="2436"/>
      <c r="W616" s="2436"/>
      <c r="X616" s="2436"/>
      <c r="Y616" s="2436"/>
      <c r="Z616" s="2436"/>
      <c r="AA616" s="2436"/>
      <c r="AB616" s="2436"/>
      <c r="AC616" s="2436"/>
      <c r="AD616" s="2436"/>
      <c r="AE616" s="2436"/>
      <c r="AF616" s="2436"/>
      <c r="AG616" s="2436"/>
      <c r="AH616" s="642"/>
      <c r="AI616" s="642"/>
      <c r="AJ616" s="642"/>
      <c r="AK616" s="642"/>
      <c r="AL616" s="642"/>
      <c r="AN616" s="597"/>
    </row>
    <row r="617" spans="1:42" s="550" customFormat="1" ht="12.75" customHeight="1">
      <c r="B617" s="536"/>
      <c r="C617" s="933"/>
      <c r="D617" s="642"/>
      <c r="E617" s="2436"/>
      <c r="F617" s="2436"/>
      <c r="G617" s="2436"/>
      <c r="H617" s="2436"/>
      <c r="I617" s="2436"/>
      <c r="J617" s="2436"/>
      <c r="K617" s="2436"/>
      <c r="L617" s="2436"/>
      <c r="M617" s="2436"/>
      <c r="N617" s="2436"/>
      <c r="O617" s="2436"/>
      <c r="P617" s="2436"/>
      <c r="Q617" s="2436"/>
      <c r="R617" s="2436"/>
      <c r="S617" s="2436"/>
      <c r="T617" s="2436"/>
      <c r="U617" s="2436"/>
      <c r="V617" s="2436"/>
      <c r="W617" s="2436"/>
      <c r="X617" s="2436"/>
      <c r="Y617" s="2436"/>
      <c r="Z617" s="2436"/>
      <c r="AA617" s="2436"/>
      <c r="AB617" s="2436"/>
      <c r="AC617" s="2436"/>
      <c r="AD617" s="2436"/>
      <c r="AE617" s="2436"/>
      <c r="AF617" s="2436"/>
      <c r="AG617" s="2436"/>
      <c r="AH617" s="642"/>
      <c r="AI617" s="642"/>
      <c r="AJ617" s="642"/>
      <c r="AK617" s="642"/>
      <c r="AL617" s="642"/>
      <c r="AN617" s="597"/>
    </row>
    <row r="618" spans="1:42" s="550" customFormat="1" ht="12.75" customHeight="1">
      <c r="B618" s="536"/>
      <c r="C618" s="933"/>
      <c r="D618" s="642"/>
      <c r="E618" s="2436"/>
      <c r="F618" s="2436"/>
      <c r="G618" s="2436"/>
      <c r="H618" s="2436"/>
      <c r="I618" s="2436"/>
      <c r="J618" s="2436"/>
      <c r="K618" s="2436"/>
      <c r="L618" s="2436"/>
      <c r="M618" s="2436"/>
      <c r="N618" s="2436"/>
      <c r="O618" s="2436"/>
      <c r="P618" s="2436"/>
      <c r="Q618" s="2436"/>
      <c r="R618" s="2436"/>
      <c r="S618" s="2436"/>
      <c r="T618" s="2436"/>
      <c r="U618" s="2436"/>
      <c r="V618" s="2436"/>
      <c r="W618" s="2436"/>
      <c r="X618" s="2436"/>
      <c r="Y618" s="2436"/>
      <c r="Z618" s="2436"/>
      <c r="AA618" s="2436"/>
      <c r="AB618" s="2436"/>
      <c r="AC618" s="2436"/>
      <c r="AD618" s="2436"/>
      <c r="AE618" s="2436"/>
      <c r="AF618" s="2436"/>
      <c r="AG618" s="2436"/>
      <c r="AH618" s="642"/>
      <c r="AI618" s="642"/>
      <c r="AJ618" s="642"/>
      <c r="AK618" s="642"/>
      <c r="AL618" s="642"/>
      <c r="AN618" s="597"/>
    </row>
    <row r="619" spans="1:42" s="550" customFormat="1" ht="12.75" customHeight="1">
      <c r="B619" s="536"/>
      <c r="C619" s="933"/>
      <c r="D619" s="642"/>
      <c r="E619" s="2436"/>
      <c r="F619" s="2436"/>
      <c r="G619" s="2436"/>
      <c r="H619" s="2436"/>
      <c r="I619" s="2436"/>
      <c r="J619" s="2436"/>
      <c r="K619" s="2436"/>
      <c r="L619" s="2436"/>
      <c r="M619" s="2436"/>
      <c r="N619" s="2436"/>
      <c r="O619" s="2436"/>
      <c r="P619" s="2436"/>
      <c r="Q619" s="2436"/>
      <c r="R619" s="2436"/>
      <c r="S619" s="2436"/>
      <c r="T619" s="2436"/>
      <c r="U619" s="2436"/>
      <c r="V619" s="2436"/>
      <c r="W619" s="2436"/>
      <c r="X619" s="2436"/>
      <c r="Y619" s="2436"/>
      <c r="Z619" s="2436"/>
      <c r="AA619" s="2436"/>
      <c r="AB619" s="2436"/>
      <c r="AC619" s="2436"/>
      <c r="AD619" s="2436"/>
      <c r="AE619" s="2436"/>
      <c r="AF619" s="2436"/>
      <c r="AG619" s="243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43">
        <f>VLOOKUP($H$606,$AO$586:$AP$591,2,FALSE)+IF(R606=AO594,0,VLOOKUP($I$614,$AO$613:$AP$615,2,FALSE))</f>
        <v>7</v>
      </c>
      <c r="AK621" s="244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50" t="s">
        <v>1695</v>
      </c>
      <c r="F625" s="2550"/>
      <c r="G625" s="2550"/>
      <c r="H625" s="2550"/>
      <c r="I625" s="2550"/>
      <c r="J625" s="2550"/>
      <c r="K625" s="2550"/>
      <c r="L625" s="2550"/>
      <c r="M625" s="2550"/>
      <c r="N625" s="2550"/>
      <c r="O625" s="2550"/>
      <c r="P625" s="2550"/>
      <c r="Q625" s="2550"/>
      <c r="R625" s="2550"/>
      <c r="S625" s="2550"/>
      <c r="T625" s="2550"/>
      <c r="U625" s="2550"/>
      <c r="V625" s="2550"/>
      <c r="W625" s="2550"/>
      <c r="X625" s="2550"/>
      <c r="Y625" s="2550"/>
      <c r="Z625" s="2550"/>
      <c r="AA625" s="2550"/>
      <c r="AB625" s="2550"/>
      <c r="AC625" s="2550"/>
      <c r="AD625" s="2550"/>
      <c r="AE625" s="539"/>
      <c r="AF625" s="2536" t="s">
        <v>1353</v>
      </c>
      <c r="AG625" s="2536"/>
      <c r="AH625" s="2536"/>
      <c r="AI625" s="2536"/>
      <c r="AJ625" s="2536"/>
      <c r="AK625" s="2536"/>
      <c r="AL625" s="2536"/>
      <c r="AM625" s="550"/>
      <c r="AN625" s="678"/>
    </row>
    <row r="626" spans="1:42" s="550" customFormat="1" ht="12.75" customHeight="1">
      <c r="A626" s="679"/>
      <c r="B626" s="536"/>
      <c r="C626" s="933"/>
      <c r="D626" s="663"/>
      <c r="E626" s="2550"/>
      <c r="F626" s="2550"/>
      <c r="G626" s="2550"/>
      <c r="H626" s="2550"/>
      <c r="I626" s="2550"/>
      <c r="J626" s="2550"/>
      <c r="K626" s="2550"/>
      <c r="L626" s="2550"/>
      <c r="M626" s="2550"/>
      <c r="N626" s="2550"/>
      <c r="O626" s="2550"/>
      <c r="P626" s="2550"/>
      <c r="Q626" s="2550"/>
      <c r="R626" s="2550"/>
      <c r="S626" s="2550"/>
      <c r="T626" s="2550"/>
      <c r="U626" s="2550"/>
      <c r="V626" s="2550"/>
      <c r="W626" s="2550"/>
      <c r="X626" s="2550"/>
      <c r="Y626" s="2550"/>
      <c r="Z626" s="2550"/>
      <c r="AA626" s="2550"/>
      <c r="AB626" s="2550"/>
      <c r="AC626" s="2550"/>
      <c r="AD626" s="2550"/>
      <c r="AE626" s="536"/>
      <c r="AF626" s="536"/>
      <c r="AG626" s="536"/>
      <c r="AH626" s="536"/>
      <c r="AI626" s="536"/>
      <c r="AJ626" s="536"/>
      <c r="AK626" s="536"/>
      <c r="AL626" s="536"/>
      <c r="AN626" s="597"/>
    </row>
    <row r="627" spans="1:42" s="550" customFormat="1" ht="12.75" customHeight="1">
      <c r="B627" s="536"/>
      <c r="C627" s="931"/>
      <c r="D627" s="663"/>
      <c r="E627" s="2550"/>
      <c r="F627" s="2550"/>
      <c r="G627" s="2550"/>
      <c r="H627" s="2550"/>
      <c r="I627" s="2550"/>
      <c r="J627" s="2550"/>
      <c r="K627" s="2550"/>
      <c r="L627" s="2550"/>
      <c r="M627" s="2550"/>
      <c r="N627" s="2550"/>
      <c r="O627" s="2550"/>
      <c r="P627" s="2550"/>
      <c r="Q627" s="2550"/>
      <c r="R627" s="2550"/>
      <c r="S627" s="2550"/>
      <c r="T627" s="2550"/>
      <c r="U627" s="2550"/>
      <c r="V627" s="2550"/>
      <c r="W627" s="2550"/>
      <c r="X627" s="2550"/>
      <c r="Y627" s="2550"/>
      <c r="Z627" s="2550"/>
      <c r="AA627" s="2550"/>
      <c r="AB627" s="2550"/>
      <c r="AC627" s="2550"/>
      <c r="AD627" s="2550"/>
      <c r="AE627" s="536"/>
      <c r="AF627" s="536"/>
      <c r="AG627" s="536"/>
      <c r="AH627" s="536"/>
      <c r="AI627" s="536"/>
      <c r="AJ627" s="536"/>
      <c r="AK627" s="536"/>
      <c r="AL627" s="536"/>
      <c r="AN627" s="597"/>
    </row>
    <row r="628" spans="1:42" s="550" customFormat="1" ht="12.75" customHeight="1">
      <c r="B628" s="536"/>
      <c r="C628" s="931"/>
      <c r="D628" s="663"/>
      <c r="E628" s="2550"/>
      <c r="F628" s="2550"/>
      <c r="G628" s="2550"/>
      <c r="H628" s="2550"/>
      <c r="I628" s="2550"/>
      <c r="J628" s="2550"/>
      <c r="K628" s="2550"/>
      <c r="L628" s="2550"/>
      <c r="M628" s="2550"/>
      <c r="N628" s="2550"/>
      <c r="O628" s="2550"/>
      <c r="P628" s="2550"/>
      <c r="Q628" s="2550"/>
      <c r="R628" s="2550"/>
      <c r="S628" s="2550"/>
      <c r="T628" s="2550"/>
      <c r="U628" s="2550"/>
      <c r="V628" s="2550"/>
      <c r="W628" s="2550"/>
      <c r="X628" s="2550"/>
      <c r="Y628" s="2550"/>
      <c r="Z628" s="2550"/>
      <c r="AA628" s="2550"/>
      <c r="AB628" s="2550"/>
      <c r="AC628" s="2550"/>
      <c r="AD628" s="2550"/>
      <c r="AE628" s="536"/>
      <c r="AF628" s="536"/>
      <c r="AG628" s="536"/>
      <c r="AH628" s="536"/>
      <c r="AI628" s="536"/>
      <c r="AJ628" s="536"/>
      <c r="AK628" s="536"/>
      <c r="AL628" s="536"/>
      <c r="AN628" s="597"/>
    </row>
    <row r="629" spans="1:42" s="550" customFormat="1" ht="12.75" customHeight="1">
      <c r="B629" s="536"/>
      <c r="C629" s="931"/>
      <c r="D629" s="663"/>
      <c r="E629" s="2550"/>
      <c r="F629" s="2550"/>
      <c r="G629" s="2550"/>
      <c r="H629" s="2550"/>
      <c r="I629" s="2550"/>
      <c r="J629" s="2550"/>
      <c r="K629" s="2550"/>
      <c r="L629" s="2550"/>
      <c r="M629" s="2550"/>
      <c r="N629" s="2550"/>
      <c r="O629" s="2550"/>
      <c r="P629" s="2550"/>
      <c r="Q629" s="2550"/>
      <c r="R629" s="2550"/>
      <c r="S629" s="2550"/>
      <c r="T629" s="2550"/>
      <c r="U629" s="2550"/>
      <c r="V629" s="2550"/>
      <c r="W629" s="2550"/>
      <c r="X629" s="2550"/>
      <c r="Y629" s="2550"/>
      <c r="Z629" s="2550"/>
      <c r="AA629" s="2550"/>
      <c r="AB629" s="2550"/>
      <c r="AC629" s="2550"/>
      <c r="AD629" s="2550"/>
      <c r="AE629" s="536"/>
      <c r="AF629" s="536"/>
      <c r="AG629" s="536"/>
      <c r="AH629" s="536"/>
      <c r="AI629" s="536"/>
      <c r="AJ629" s="536"/>
      <c r="AK629" s="536"/>
      <c r="AL629" s="536"/>
      <c r="AN629" s="597"/>
    </row>
    <row r="630" spans="1:42" s="550" customFormat="1" ht="12.75" customHeight="1">
      <c r="B630" s="536"/>
      <c r="C630" s="931"/>
      <c r="D630" s="663"/>
      <c r="E630" s="2550"/>
      <c r="F630" s="2550"/>
      <c r="G630" s="2550"/>
      <c r="H630" s="2550"/>
      <c r="I630" s="2550"/>
      <c r="J630" s="2550"/>
      <c r="K630" s="2550"/>
      <c r="L630" s="2550"/>
      <c r="M630" s="2550"/>
      <c r="N630" s="2550"/>
      <c r="O630" s="2550"/>
      <c r="P630" s="2550"/>
      <c r="Q630" s="2550"/>
      <c r="R630" s="2550"/>
      <c r="S630" s="2550"/>
      <c r="T630" s="2550"/>
      <c r="U630" s="2550"/>
      <c r="V630" s="2550"/>
      <c r="W630" s="2550"/>
      <c r="X630" s="2550"/>
      <c r="Y630" s="2550"/>
      <c r="Z630" s="2550"/>
      <c r="AA630" s="2550"/>
      <c r="AB630" s="2550"/>
      <c r="AC630" s="2550"/>
      <c r="AD630" s="2550"/>
      <c r="AE630" s="536"/>
      <c r="AF630" s="536"/>
      <c r="AG630" s="536"/>
      <c r="AH630" s="536"/>
      <c r="AI630" s="536"/>
      <c r="AJ630" s="536"/>
      <c r="AK630" s="536"/>
      <c r="AL630" s="536"/>
      <c r="AN630" s="597"/>
    </row>
    <row r="631" spans="1:42" s="550" customFormat="1" ht="12.75" customHeight="1">
      <c r="A631" s="637"/>
      <c r="B631" s="616"/>
      <c r="C631" s="940"/>
      <c r="D631" s="663"/>
      <c r="E631" s="2550"/>
      <c r="F631" s="2550"/>
      <c r="G631" s="2550"/>
      <c r="H631" s="2550"/>
      <c r="I631" s="2550"/>
      <c r="J631" s="2550"/>
      <c r="K631" s="2550"/>
      <c r="L631" s="2550"/>
      <c r="M631" s="2550"/>
      <c r="N631" s="2550"/>
      <c r="O631" s="2550"/>
      <c r="P631" s="2550"/>
      <c r="Q631" s="2550"/>
      <c r="R631" s="2550"/>
      <c r="S631" s="2550"/>
      <c r="T631" s="2550"/>
      <c r="U631" s="2550"/>
      <c r="V631" s="2550"/>
      <c r="W631" s="2550"/>
      <c r="X631" s="2550"/>
      <c r="Y631" s="2550"/>
      <c r="Z631" s="2550"/>
      <c r="AA631" s="2550"/>
      <c r="AB631" s="2550"/>
      <c r="AC631" s="2550"/>
      <c r="AD631" s="2550"/>
      <c r="AE631" s="616"/>
      <c r="AF631" s="616"/>
      <c r="AG631" s="616"/>
      <c r="AH631" s="616"/>
      <c r="AI631" s="616"/>
      <c r="AJ631" s="616"/>
      <c r="AK631" s="536"/>
      <c r="AL631" s="536"/>
      <c r="AN631" s="597"/>
    </row>
    <row r="632" spans="1:42" s="550" customFormat="1" ht="12.75" customHeight="1">
      <c r="B632" s="616"/>
      <c r="C632" s="940"/>
      <c r="D632" s="663"/>
      <c r="E632" s="2550"/>
      <c r="F632" s="2550"/>
      <c r="G632" s="2550"/>
      <c r="H632" s="2550"/>
      <c r="I632" s="2550"/>
      <c r="J632" s="2550"/>
      <c r="K632" s="2550"/>
      <c r="L632" s="2550"/>
      <c r="M632" s="2550"/>
      <c r="N632" s="2550"/>
      <c r="O632" s="2550"/>
      <c r="P632" s="2550"/>
      <c r="Q632" s="2550"/>
      <c r="R632" s="2550"/>
      <c r="S632" s="2550"/>
      <c r="T632" s="2550"/>
      <c r="U632" s="2550"/>
      <c r="V632" s="2550"/>
      <c r="W632" s="2550"/>
      <c r="X632" s="2550"/>
      <c r="Y632" s="2550"/>
      <c r="Z632" s="2550"/>
      <c r="AA632" s="2550"/>
      <c r="AB632" s="2550"/>
      <c r="AC632" s="2550"/>
      <c r="AD632" s="255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08" t="s">
        <v>546</v>
      </c>
      <c r="Y634" s="240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6" t="s">
        <v>1409</v>
      </c>
      <c r="AG636" s="2536"/>
      <c r="AH636" s="2536"/>
      <c r="AI636" s="2536"/>
      <c r="AJ636" s="2536"/>
      <c r="AK636" s="2536"/>
      <c r="AL636" s="253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60" t="s">
        <v>592</v>
      </c>
      <c r="I638" s="246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43">
        <f>VLOOKUP($H$638,$AO$605:$AP$607,2,FALSE)</f>
        <v>0</v>
      </c>
      <c r="AK640" s="244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36" t="s">
        <v>2098</v>
      </c>
      <c r="F644" s="2436"/>
      <c r="G644" s="2436"/>
      <c r="H644" s="2436"/>
      <c r="I644" s="2436"/>
      <c r="J644" s="2436"/>
      <c r="K644" s="2436"/>
      <c r="L644" s="2436"/>
      <c r="M644" s="2436"/>
      <c r="N644" s="2436"/>
      <c r="O644" s="2436"/>
      <c r="P644" s="2436"/>
      <c r="Q644" s="2436"/>
      <c r="R644" s="2436"/>
      <c r="S644" s="2436"/>
      <c r="T644" s="2436"/>
      <c r="U644" s="2436"/>
      <c r="V644" s="2436"/>
      <c r="W644" s="2436"/>
      <c r="X644" s="2436"/>
      <c r="Y644" s="2436"/>
      <c r="Z644" s="2436"/>
      <c r="AA644" s="2436"/>
      <c r="AB644" s="2436"/>
      <c r="AC644" s="2436"/>
      <c r="AD644" s="2436"/>
      <c r="AE644" s="536"/>
      <c r="AF644" s="2536" t="s">
        <v>1353</v>
      </c>
      <c r="AG644" s="2536"/>
      <c r="AH644" s="2536"/>
      <c r="AI644" s="2536"/>
      <c r="AJ644" s="2536"/>
      <c r="AK644" s="2536"/>
      <c r="AL644" s="2536"/>
      <c r="AN644" s="597"/>
    </row>
    <row r="645" spans="1:42" s="550" customFormat="1" ht="12.75" customHeight="1">
      <c r="B645" s="536"/>
      <c r="C645" s="536"/>
      <c r="D645" s="663"/>
      <c r="E645" s="2436"/>
      <c r="F645" s="2436"/>
      <c r="G645" s="2436"/>
      <c r="H645" s="2436"/>
      <c r="I645" s="2436"/>
      <c r="J645" s="2436"/>
      <c r="K645" s="2436"/>
      <c r="L645" s="2436"/>
      <c r="M645" s="2436"/>
      <c r="N645" s="2436"/>
      <c r="O645" s="2436"/>
      <c r="P645" s="2436"/>
      <c r="Q645" s="2436"/>
      <c r="R645" s="2436"/>
      <c r="S645" s="2436"/>
      <c r="T645" s="2436"/>
      <c r="U645" s="2436"/>
      <c r="V645" s="2436"/>
      <c r="W645" s="2436"/>
      <c r="X645" s="2436"/>
      <c r="Y645" s="2436"/>
      <c r="Z645" s="2436"/>
      <c r="AA645" s="2436"/>
      <c r="AB645" s="2436"/>
      <c r="AC645" s="2436"/>
      <c r="AD645" s="243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6" t="s">
        <v>1409</v>
      </c>
      <c r="AG647" s="2536"/>
      <c r="AH647" s="2536"/>
      <c r="AI647" s="2536"/>
      <c r="AJ647" s="2536"/>
      <c r="AK647" s="2536"/>
      <c r="AL647" s="2536"/>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60" t="s">
        <v>688</v>
      </c>
      <c r="I650" s="246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43">
        <f>VLOOKUP(H650,AT605:AU607,2,FALSE)</f>
        <v>3</v>
      </c>
      <c r="AK652" s="244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36" t="s">
        <v>1419</v>
      </c>
      <c r="F657" s="2436"/>
      <c r="G657" s="2436"/>
      <c r="H657" s="2436"/>
      <c r="I657" s="2436"/>
      <c r="J657" s="2436"/>
      <c r="K657" s="2436"/>
      <c r="L657" s="2436"/>
      <c r="M657" s="2436"/>
      <c r="N657" s="2436"/>
      <c r="O657" s="2436"/>
      <c r="P657" s="2436"/>
      <c r="Q657" s="2436"/>
      <c r="R657" s="2436"/>
      <c r="S657" s="2436"/>
      <c r="T657" s="2436"/>
      <c r="U657" s="2436"/>
      <c r="V657" s="2436"/>
      <c r="W657" s="2436"/>
      <c r="X657" s="2436"/>
      <c r="Y657" s="2436"/>
      <c r="Z657" s="2436"/>
      <c r="AA657" s="2436"/>
      <c r="AB657" s="2436"/>
      <c r="AC657" s="2436"/>
      <c r="AD657" s="536"/>
      <c r="AE657" s="536"/>
      <c r="AF657" s="2536" t="s">
        <v>1379</v>
      </c>
      <c r="AG657" s="2536"/>
      <c r="AH657" s="2536"/>
      <c r="AI657" s="2536"/>
      <c r="AJ657" s="2536"/>
      <c r="AK657" s="2536"/>
      <c r="AL657" s="2536"/>
      <c r="AN657" s="597"/>
    </row>
    <row r="658" spans="1:42" s="550" customFormat="1" ht="12.75" customHeight="1">
      <c r="B658" s="536"/>
      <c r="C658" s="539"/>
      <c r="D658" s="536"/>
      <c r="E658" s="2436"/>
      <c r="F658" s="2436"/>
      <c r="G658" s="2436"/>
      <c r="H658" s="2436"/>
      <c r="I658" s="2436"/>
      <c r="J658" s="2436"/>
      <c r="K658" s="2436"/>
      <c r="L658" s="2436"/>
      <c r="M658" s="2436"/>
      <c r="N658" s="2436"/>
      <c r="O658" s="2436"/>
      <c r="P658" s="2436"/>
      <c r="Q658" s="2436"/>
      <c r="R658" s="2436"/>
      <c r="S658" s="2436"/>
      <c r="T658" s="2436"/>
      <c r="U658" s="2436"/>
      <c r="V658" s="2436"/>
      <c r="W658" s="2436"/>
      <c r="X658" s="2436"/>
      <c r="Y658" s="2436"/>
      <c r="Z658" s="2436"/>
      <c r="AA658" s="2436"/>
      <c r="AB658" s="2436"/>
      <c r="AC658" s="2436"/>
      <c r="AD658" s="536"/>
      <c r="AE658" s="536"/>
      <c r="AF658" s="536"/>
      <c r="AG658" s="536"/>
      <c r="AH658" s="536"/>
      <c r="AI658" s="536"/>
      <c r="AJ658" s="536"/>
      <c r="AK658" s="536"/>
      <c r="AL658" s="536"/>
      <c r="AN658" s="597"/>
    </row>
    <row r="659" spans="1:42" s="550" customFormat="1" ht="12.75" customHeight="1">
      <c r="B659" s="536"/>
      <c r="C659" s="539"/>
      <c r="D659" s="663"/>
      <c r="E659" s="2436"/>
      <c r="F659" s="2436"/>
      <c r="G659" s="2436"/>
      <c r="H659" s="2436"/>
      <c r="I659" s="2436"/>
      <c r="J659" s="2436"/>
      <c r="K659" s="2436"/>
      <c r="L659" s="2436"/>
      <c r="M659" s="2436"/>
      <c r="N659" s="2436"/>
      <c r="O659" s="2436"/>
      <c r="P659" s="2436"/>
      <c r="Q659" s="2436"/>
      <c r="R659" s="2436"/>
      <c r="S659" s="2436"/>
      <c r="T659" s="2436"/>
      <c r="U659" s="2436"/>
      <c r="V659" s="2436"/>
      <c r="W659" s="2436"/>
      <c r="X659" s="2436"/>
      <c r="Y659" s="2436"/>
      <c r="Z659" s="2436"/>
      <c r="AA659" s="2436"/>
      <c r="AB659" s="2436"/>
      <c r="AC659" s="243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36" t="s">
        <v>1420</v>
      </c>
      <c r="F661" s="2436"/>
      <c r="G661" s="2436"/>
      <c r="H661" s="2436"/>
      <c r="I661" s="2436"/>
      <c r="J661" s="2436"/>
      <c r="K661" s="2436"/>
      <c r="L661" s="2436"/>
      <c r="M661" s="2436"/>
      <c r="N661" s="2436"/>
      <c r="O661" s="2436"/>
      <c r="P661" s="2436"/>
      <c r="Q661" s="2436"/>
      <c r="R661" s="2436"/>
      <c r="S661" s="2436"/>
      <c r="T661" s="2436"/>
      <c r="U661" s="2436"/>
      <c r="V661" s="2436"/>
      <c r="W661" s="2436"/>
      <c r="X661" s="2436"/>
      <c r="Y661" s="2436"/>
      <c r="Z661" s="2436"/>
      <c r="AA661" s="2436"/>
      <c r="AB661" s="2436"/>
      <c r="AC661" s="2436"/>
      <c r="AD661" s="536"/>
      <c r="AE661" s="536"/>
      <c r="AF661" s="2536" t="s">
        <v>1400</v>
      </c>
      <c r="AG661" s="2536"/>
      <c r="AH661" s="2536"/>
      <c r="AI661" s="2536"/>
      <c r="AJ661" s="2536"/>
      <c r="AK661" s="2536"/>
      <c r="AL661" s="2536"/>
      <c r="AN661" s="597"/>
    </row>
    <row r="662" spans="1:42" s="550" customFormat="1" ht="12.75" customHeight="1">
      <c r="B662" s="536"/>
      <c r="C662" s="539"/>
      <c r="D662" s="536"/>
      <c r="E662" s="2436"/>
      <c r="F662" s="2436"/>
      <c r="G662" s="2436"/>
      <c r="H662" s="2436"/>
      <c r="I662" s="2436"/>
      <c r="J662" s="2436"/>
      <c r="K662" s="2436"/>
      <c r="L662" s="2436"/>
      <c r="M662" s="2436"/>
      <c r="N662" s="2436"/>
      <c r="O662" s="2436"/>
      <c r="P662" s="2436"/>
      <c r="Q662" s="2436"/>
      <c r="R662" s="2436"/>
      <c r="S662" s="2436"/>
      <c r="T662" s="2436"/>
      <c r="U662" s="2436"/>
      <c r="V662" s="2436"/>
      <c r="W662" s="2436"/>
      <c r="X662" s="2436"/>
      <c r="Y662" s="2436"/>
      <c r="Z662" s="2436"/>
      <c r="AA662" s="2436"/>
      <c r="AB662" s="2436"/>
      <c r="AC662" s="2436"/>
      <c r="AD662" s="536"/>
      <c r="AE662" s="536"/>
      <c r="AF662" s="536"/>
      <c r="AG662" s="536"/>
      <c r="AH662" s="536"/>
      <c r="AI662" s="536"/>
      <c r="AJ662" s="536"/>
      <c r="AK662" s="536"/>
      <c r="AL662" s="536"/>
      <c r="AN662" s="597"/>
    </row>
    <row r="663" spans="1:42" s="550" customFormat="1" ht="15" customHeight="1">
      <c r="B663" s="536"/>
      <c r="C663" s="539"/>
      <c r="D663" s="663"/>
      <c r="E663" s="2436"/>
      <c r="F663" s="2436"/>
      <c r="G663" s="2436"/>
      <c r="H663" s="2436"/>
      <c r="I663" s="2436"/>
      <c r="J663" s="2436"/>
      <c r="K663" s="2436"/>
      <c r="L663" s="2436"/>
      <c r="M663" s="2436"/>
      <c r="N663" s="2436"/>
      <c r="O663" s="2436"/>
      <c r="P663" s="2436"/>
      <c r="Q663" s="2436"/>
      <c r="R663" s="2436"/>
      <c r="S663" s="2436"/>
      <c r="T663" s="2436"/>
      <c r="U663" s="2436"/>
      <c r="V663" s="2436"/>
      <c r="W663" s="2436"/>
      <c r="X663" s="2436"/>
      <c r="Y663" s="2436"/>
      <c r="Z663" s="2436"/>
      <c r="AA663" s="2436"/>
      <c r="AB663" s="2436"/>
      <c r="AC663" s="243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6" t="s">
        <v>1421</v>
      </c>
      <c r="F665" s="2436"/>
      <c r="G665" s="2436"/>
      <c r="H665" s="2436"/>
      <c r="I665" s="2436"/>
      <c r="J665" s="2436"/>
      <c r="K665" s="2436"/>
      <c r="L665" s="2436"/>
      <c r="M665" s="2436"/>
      <c r="N665" s="2436"/>
      <c r="O665" s="2436"/>
      <c r="P665" s="2436"/>
      <c r="Q665" s="2436"/>
      <c r="R665" s="2436"/>
      <c r="S665" s="2436"/>
      <c r="T665" s="2436"/>
      <c r="U665" s="2436"/>
      <c r="V665" s="2436"/>
      <c r="W665" s="2436"/>
      <c r="X665" s="2436"/>
      <c r="Y665" s="2436"/>
      <c r="Z665" s="2436"/>
      <c r="AA665" s="2436"/>
      <c r="AB665" s="2436"/>
      <c r="AC665" s="2436"/>
      <c r="AD665" s="536"/>
      <c r="AE665" s="536"/>
      <c r="AF665" s="2536" t="s">
        <v>1353</v>
      </c>
      <c r="AG665" s="2536"/>
      <c r="AH665" s="2536"/>
      <c r="AI665" s="2536"/>
      <c r="AJ665" s="2536"/>
      <c r="AK665" s="2536"/>
      <c r="AL665" s="2536"/>
      <c r="AN665" s="597"/>
    </row>
    <row r="666" spans="1:42" s="550" customFormat="1" ht="12.75" customHeight="1">
      <c r="B666" s="536"/>
      <c r="C666" s="931"/>
      <c r="D666" s="536"/>
      <c r="E666" s="2436"/>
      <c r="F666" s="2436"/>
      <c r="G666" s="2436"/>
      <c r="H666" s="2436"/>
      <c r="I666" s="2436"/>
      <c r="J666" s="2436"/>
      <c r="K666" s="2436"/>
      <c r="L666" s="2436"/>
      <c r="M666" s="2436"/>
      <c r="N666" s="2436"/>
      <c r="O666" s="2436"/>
      <c r="P666" s="2436"/>
      <c r="Q666" s="2436"/>
      <c r="R666" s="2436"/>
      <c r="S666" s="2436"/>
      <c r="T666" s="2436"/>
      <c r="U666" s="2436"/>
      <c r="V666" s="2436"/>
      <c r="W666" s="2436"/>
      <c r="X666" s="2436"/>
      <c r="Y666" s="2436"/>
      <c r="Z666" s="2436"/>
      <c r="AA666" s="2436"/>
      <c r="AB666" s="2436"/>
      <c r="AC666" s="2436"/>
      <c r="AD666" s="536"/>
      <c r="AE666" s="2536"/>
      <c r="AF666" s="2536"/>
      <c r="AG666" s="2536"/>
      <c r="AH666" s="2536"/>
      <c r="AI666" s="2536"/>
      <c r="AJ666" s="2536"/>
      <c r="AK666" s="2536"/>
      <c r="AL666" s="594"/>
      <c r="AN666" s="597"/>
      <c r="AO666" s="550" t="s">
        <v>592</v>
      </c>
      <c r="AP666" s="673">
        <v>0</v>
      </c>
    </row>
    <row r="667" spans="1:42" s="550" customFormat="1" ht="12.75" customHeight="1">
      <c r="A667" s="679"/>
      <c r="B667" s="536"/>
      <c r="C667" s="536"/>
      <c r="D667" s="663"/>
      <c r="E667" s="2436"/>
      <c r="F667" s="2436"/>
      <c r="G667" s="2436"/>
      <c r="H667" s="2436"/>
      <c r="I667" s="2436"/>
      <c r="J667" s="2436"/>
      <c r="K667" s="2436"/>
      <c r="L667" s="2436"/>
      <c r="M667" s="2436"/>
      <c r="N667" s="2436"/>
      <c r="O667" s="2436"/>
      <c r="P667" s="2436"/>
      <c r="Q667" s="2436"/>
      <c r="R667" s="2436"/>
      <c r="S667" s="2436"/>
      <c r="T667" s="2436"/>
      <c r="U667" s="2436"/>
      <c r="V667" s="2436"/>
      <c r="W667" s="2436"/>
      <c r="X667" s="2436"/>
      <c r="Y667" s="2436"/>
      <c r="Z667" s="2436"/>
      <c r="AA667" s="2436"/>
      <c r="AB667" s="2436"/>
      <c r="AC667" s="243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36" t="s">
        <v>1422</v>
      </c>
      <c r="F669" s="2436"/>
      <c r="G669" s="2436"/>
      <c r="H669" s="2436"/>
      <c r="I669" s="2436"/>
      <c r="J669" s="2436"/>
      <c r="K669" s="2436"/>
      <c r="L669" s="2436"/>
      <c r="M669" s="2436"/>
      <c r="N669" s="2436"/>
      <c r="O669" s="2436"/>
      <c r="P669" s="2436"/>
      <c r="Q669" s="2436"/>
      <c r="R669" s="2436"/>
      <c r="S669" s="2436"/>
      <c r="T669" s="2436"/>
      <c r="U669" s="2436"/>
      <c r="V669" s="2436"/>
      <c r="W669" s="2436"/>
      <c r="X669" s="2436"/>
      <c r="Y669" s="2436"/>
      <c r="Z669" s="2436"/>
      <c r="AA669" s="2436"/>
      <c r="AB669" s="2436"/>
      <c r="AC669" s="2436"/>
      <c r="AD669" s="536"/>
      <c r="AE669" s="536"/>
      <c r="AF669" s="2536" t="s">
        <v>1400</v>
      </c>
      <c r="AG669" s="2536"/>
      <c r="AH669" s="2536"/>
      <c r="AI669" s="2536"/>
      <c r="AJ669" s="2536"/>
      <c r="AK669" s="2536"/>
      <c r="AL669" s="2536"/>
      <c r="AN669" s="597"/>
    </row>
    <row r="670" spans="1:42" s="550" customFormat="1" ht="12.75" customHeight="1">
      <c r="A670" s="670"/>
      <c r="B670" s="536"/>
      <c r="C670" s="947"/>
      <c r="D670" s="663"/>
      <c r="E670" s="2436"/>
      <c r="F670" s="2436"/>
      <c r="G670" s="2436"/>
      <c r="H670" s="2436"/>
      <c r="I670" s="2436"/>
      <c r="J670" s="2436"/>
      <c r="K670" s="2436"/>
      <c r="L670" s="2436"/>
      <c r="M670" s="2436"/>
      <c r="N670" s="2436"/>
      <c r="O670" s="2436"/>
      <c r="P670" s="2436"/>
      <c r="Q670" s="2436"/>
      <c r="R670" s="2436"/>
      <c r="S670" s="2436"/>
      <c r="T670" s="2436"/>
      <c r="U670" s="2436"/>
      <c r="V670" s="2436"/>
      <c r="W670" s="2436"/>
      <c r="X670" s="2436"/>
      <c r="Y670" s="2436"/>
      <c r="Z670" s="2436"/>
      <c r="AA670" s="2436"/>
      <c r="AB670" s="2436"/>
      <c r="AC670" s="243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6"/>
      <c r="F671" s="2436"/>
      <c r="G671" s="2436"/>
      <c r="H671" s="2436"/>
      <c r="I671" s="2436"/>
      <c r="J671" s="2436"/>
      <c r="K671" s="2436"/>
      <c r="L671" s="2436"/>
      <c r="M671" s="2436"/>
      <c r="N671" s="2436"/>
      <c r="O671" s="2436"/>
      <c r="P671" s="2436"/>
      <c r="Q671" s="2436"/>
      <c r="R671" s="2436"/>
      <c r="S671" s="2436"/>
      <c r="T671" s="2436"/>
      <c r="U671" s="2436"/>
      <c r="V671" s="2436"/>
      <c r="W671" s="2436"/>
      <c r="X671" s="2436"/>
      <c r="Y671" s="2436"/>
      <c r="Z671" s="2436"/>
      <c r="AA671" s="2436"/>
      <c r="AB671" s="2436"/>
      <c r="AC671" s="243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36" t="s">
        <v>1423</v>
      </c>
      <c r="F673" s="2436"/>
      <c r="G673" s="2436"/>
      <c r="H673" s="2436"/>
      <c r="I673" s="2436"/>
      <c r="J673" s="2436"/>
      <c r="K673" s="2436"/>
      <c r="L673" s="2436"/>
      <c r="M673" s="2436"/>
      <c r="N673" s="2436"/>
      <c r="O673" s="2436"/>
      <c r="P673" s="2436"/>
      <c r="Q673" s="2436"/>
      <c r="R673" s="2436"/>
      <c r="S673" s="2436"/>
      <c r="T673" s="2436"/>
      <c r="U673" s="2436"/>
      <c r="V673" s="2436"/>
      <c r="W673" s="2436"/>
      <c r="X673" s="2436"/>
      <c r="Y673" s="2436"/>
      <c r="Z673" s="2436"/>
      <c r="AA673" s="2436"/>
      <c r="AB673" s="2436"/>
      <c r="AC673" s="2436"/>
      <c r="AD673" s="536"/>
      <c r="AE673" s="536"/>
      <c r="AF673" s="2536" t="s">
        <v>1353</v>
      </c>
      <c r="AG673" s="2536"/>
      <c r="AH673" s="2536"/>
      <c r="AI673" s="2536"/>
      <c r="AJ673" s="2536"/>
      <c r="AK673" s="2536"/>
      <c r="AL673" s="2536"/>
      <c r="AM673" s="596"/>
      <c r="AN673" s="597"/>
    </row>
    <row r="674" spans="1:42" s="550" customFormat="1" ht="12.75" customHeight="1">
      <c r="B674" s="536"/>
      <c r="C674" s="931"/>
      <c r="D674" s="663"/>
      <c r="E674" s="2436"/>
      <c r="F674" s="2436"/>
      <c r="G674" s="2436"/>
      <c r="H674" s="2436"/>
      <c r="I674" s="2436"/>
      <c r="J674" s="2436"/>
      <c r="K674" s="2436"/>
      <c r="L674" s="2436"/>
      <c r="M674" s="2436"/>
      <c r="N674" s="2436"/>
      <c r="O674" s="2436"/>
      <c r="P674" s="2436"/>
      <c r="Q674" s="2436"/>
      <c r="R674" s="2436"/>
      <c r="S674" s="2436"/>
      <c r="T674" s="2436"/>
      <c r="U674" s="2436"/>
      <c r="V674" s="2436"/>
      <c r="W674" s="2436"/>
      <c r="X674" s="2436"/>
      <c r="Y674" s="2436"/>
      <c r="Z674" s="2436"/>
      <c r="AA674" s="2436"/>
      <c r="AB674" s="2436"/>
      <c r="AC674" s="2436"/>
      <c r="AD674" s="536"/>
      <c r="AE674" s="536"/>
      <c r="AF674" s="536"/>
      <c r="AG674" s="536"/>
      <c r="AH674" s="536"/>
      <c r="AI674" s="536"/>
      <c r="AJ674" s="536"/>
      <c r="AK674" s="536"/>
      <c r="AL674" s="536"/>
      <c r="AM674" s="596"/>
      <c r="AN674" s="597"/>
    </row>
    <row r="675" spans="1:42" s="550" customFormat="1" ht="12.75" customHeight="1">
      <c r="B675" s="536"/>
      <c r="C675" s="931"/>
      <c r="D675" s="663"/>
      <c r="E675" s="2436"/>
      <c r="F675" s="2436"/>
      <c r="G675" s="2436"/>
      <c r="H675" s="2436"/>
      <c r="I675" s="2436"/>
      <c r="J675" s="2436"/>
      <c r="K675" s="2436"/>
      <c r="L675" s="2436"/>
      <c r="M675" s="2436"/>
      <c r="N675" s="2436"/>
      <c r="O675" s="2436"/>
      <c r="P675" s="2436"/>
      <c r="Q675" s="2436"/>
      <c r="R675" s="2436"/>
      <c r="S675" s="2436"/>
      <c r="T675" s="2436"/>
      <c r="U675" s="2436"/>
      <c r="V675" s="2436"/>
      <c r="W675" s="2436"/>
      <c r="X675" s="2436"/>
      <c r="Y675" s="2436"/>
      <c r="Z675" s="2436"/>
      <c r="AA675" s="2436"/>
      <c r="AB675" s="2436"/>
      <c r="AC675" s="243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36" t="s">
        <v>1424</v>
      </c>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536"/>
      <c r="AE677" s="536"/>
      <c r="AF677" s="2536" t="s">
        <v>1409</v>
      </c>
      <c r="AG677" s="2536"/>
      <c r="AH677" s="2536"/>
      <c r="AI677" s="2536"/>
      <c r="AJ677" s="2536"/>
      <c r="AK677" s="2536"/>
      <c r="AL677" s="2536"/>
      <c r="AM677" s="596"/>
      <c r="AN677" s="597"/>
    </row>
    <row r="678" spans="1:42" s="550" customFormat="1" ht="12.75" customHeight="1">
      <c r="A678" s="679"/>
      <c r="B678" s="536"/>
      <c r="C678" s="931"/>
      <c r="D678" s="663"/>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6"/>
      <c r="F679" s="2436"/>
      <c r="G679" s="2436"/>
      <c r="H679" s="2436"/>
      <c r="I679" s="2436"/>
      <c r="J679" s="2436"/>
      <c r="K679" s="2436"/>
      <c r="L679" s="2436"/>
      <c r="M679" s="2436"/>
      <c r="N679" s="2436"/>
      <c r="O679" s="2436"/>
      <c r="P679" s="2436"/>
      <c r="Q679" s="2436"/>
      <c r="R679" s="2436"/>
      <c r="S679" s="2436"/>
      <c r="T679" s="2436"/>
      <c r="U679" s="2436"/>
      <c r="V679" s="2436"/>
      <c r="W679" s="2436"/>
      <c r="X679" s="2436"/>
      <c r="Y679" s="2436"/>
      <c r="Z679" s="2436"/>
      <c r="AA679" s="2436"/>
      <c r="AB679" s="2436"/>
      <c r="AC679" s="243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36" t="s">
        <v>1425</v>
      </c>
      <c r="F681" s="2436"/>
      <c r="G681" s="2436"/>
      <c r="H681" s="2436"/>
      <c r="I681" s="2436"/>
      <c r="J681" s="2436"/>
      <c r="K681" s="2436"/>
      <c r="L681" s="2436"/>
      <c r="M681" s="2436"/>
      <c r="N681" s="2436"/>
      <c r="O681" s="2436"/>
      <c r="P681" s="2436"/>
      <c r="Q681" s="2436"/>
      <c r="R681" s="2436"/>
      <c r="S681" s="2436"/>
      <c r="T681" s="2436"/>
      <c r="U681" s="2436"/>
      <c r="V681" s="2436"/>
      <c r="W681" s="2436"/>
      <c r="X681" s="2436"/>
      <c r="Y681" s="2436"/>
      <c r="Z681" s="2436"/>
      <c r="AA681" s="2436"/>
      <c r="AB681" s="2436"/>
      <c r="AC681" s="2436"/>
      <c r="AD681" s="536"/>
      <c r="AE681" s="536"/>
      <c r="AF681" s="2536" t="s">
        <v>1426</v>
      </c>
      <c r="AG681" s="2536"/>
      <c r="AH681" s="2536"/>
      <c r="AI681" s="2536"/>
      <c r="AJ681" s="2536"/>
      <c r="AK681" s="2536"/>
      <c r="AL681" s="2536"/>
      <c r="AM681" s="596"/>
      <c r="AN681" s="597"/>
      <c r="AO681" s="611" t="s">
        <v>688</v>
      </c>
      <c r="AP681" s="550">
        <v>3</v>
      </c>
    </row>
    <row r="682" spans="1:42" s="550" customFormat="1" ht="12.75" customHeight="1">
      <c r="A682" s="679"/>
      <c r="B682" s="536"/>
      <c r="C682" s="931"/>
      <c r="D682" s="663"/>
      <c r="E682" s="2436"/>
      <c r="F682" s="2436"/>
      <c r="G682" s="2436"/>
      <c r="H682" s="2436"/>
      <c r="I682" s="2436"/>
      <c r="J682" s="2436"/>
      <c r="K682" s="2436"/>
      <c r="L682" s="2436"/>
      <c r="M682" s="2436"/>
      <c r="N682" s="2436"/>
      <c r="O682" s="2436"/>
      <c r="P682" s="2436"/>
      <c r="Q682" s="2436"/>
      <c r="R682" s="2436"/>
      <c r="S682" s="2436"/>
      <c r="T682" s="2436"/>
      <c r="U682" s="2436"/>
      <c r="V682" s="2436"/>
      <c r="W682" s="2436"/>
      <c r="X682" s="2436"/>
      <c r="Y682" s="2436"/>
      <c r="Z682" s="2436"/>
      <c r="AA682" s="2436"/>
      <c r="AB682" s="2436"/>
      <c r="AC682" s="243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36"/>
      <c r="F683" s="2436"/>
      <c r="G683" s="2436"/>
      <c r="H683" s="2436"/>
      <c r="I683" s="2436"/>
      <c r="J683" s="2436"/>
      <c r="K683" s="2436"/>
      <c r="L683" s="2436"/>
      <c r="M683" s="2436"/>
      <c r="N683" s="2436"/>
      <c r="O683" s="2436"/>
      <c r="P683" s="2436"/>
      <c r="Q683" s="2436"/>
      <c r="R683" s="2436"/>
      <c r="S683" s="2436"/>
      <c r="T683" s="2436"/>
      <c r="U683" s="2436"/>
      <c r="V683" s="2436"/>
      <c r="W683" s="2436"/>
      <c r="X683" s="2436"/>
      <c r="Y683" s="2436"/>
      <c r="Z683" s="2436"/>
      <c r="AA683" s="2436"/>
      <c r="AB683" s="2436"/>
      <c r="AC683" s="243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60" t="s">
        <v>688</v>
      </c>
      <c r="I685" s="246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43">
        <f>VLOOKUP($H$685,$AO$633:$AP$640,2,FALSE)</f>
        <v>5</v>
      </c>
      <c r="AK687" s="244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45</v>
      </c>
    </row>
    <row r="691" spans="1:51" s="550" customFormat="1" ht="12.75" customHeight="1">
      <c r="A691" s="679"/>
      <c r="B691" s="536"/>
      <c r="C691" s="948"/>
      <c r="D691" s="663" t="s">
        <v>688</v>
      </c>
      <c r="E691" s="2406" t="s">
        <v>2190</v>
      </c>
      <c r="F691" s="2406"/>
      <c r="G691" s="2406"/>
      <c r="H691" s="2406"/>
      <c r="I691" s="2406"/>
      <c r="J691" s="2406"/>
      <c r="K691" s="2406"/>
      <c r="L691" s="2406"/>
      <c r="M691" s="2406"/>
      <c r="N691" s="2406"/>
      <c r="O691" s="2406"/>
      <c r="P691" s="2406"/>
      <c r="Q691" s="2406"/>
      <c r="R691" s="2406"/>
      <c r="S691" s="2406"/>
      <c r="T691" s="2406"/>
      <c r="U691" s="2406"/>
      <c r="V691" s="2406"/>
      <c r="W691" s="2406"/>
      <c r="X691" s="2406"/>
      <c r="Y691" s="2406"/>
      <c r="Z691" s="2406"/>
      <c r="AA691" s="2406"/>
      <c r="AB691" s="2406"/>
      <c r="AC691" s="536"/>
      <c r="AD691" s="536"/>
      <c r="AE691" s="536"/>
      <c r="AF691" s="2536" t="s">
        <v>1353</v>
      </c>
      <c r="AG691" s="2536"/>
      <c r="AH691" s="2536"/>
      <c r="AI691" s="2536"/>
      <c r="AJ691" s="2536"/>
      <c r="AK691" s="2536"/>
      <c r="AL691" s="2536"/>
      <c r="AN691" s="597"/>
      <c r="AW691" s="22" t="s">
        <v>2185</v>
      </c>
      <c r="AX691" s="550">
        <f>Application!DE753</f>
        <v>12</v>
      </c>
    </row>
    <row r="692" spans="1:51" s="550" customFormat="1" ht="12.75" customHeight="1">
      <c r="A692" s="679"/>
      <c r="B692" s="536"/>
      <c r="C692" s="948"/>
      <c r="D692" s="663"/>
      <c r="E692" s="2406"/>
      <c r="F692" s="2406"/>
      <c r="G692" s="2406"/>
      <c r="H692" s="2406"/>
      <c r="I692" s="2406"/>
      <c r="J692" s="2406"/>
      <c r="K692" s="2406"/>
      <c r="L692" s="2406"/>
      <c r="M692" s="2406"/>
      <c r="N692" s="2406"/>
      <c r="O692" s="2406"/>
      <c r="P692" s="2406"/>
      <c r="Q692" s="2406"/>
      <c r="R692" s="2406"/>
      <c r="S692" s="2406"/>
      <c r="T692" s="2406"/>
      <c r="U692" s="2406"/>
      <c r="V692" s="2406"/>
      <c r="W692" s="2406"/>
      <c r="X692" s="2406"/>
      <c r="Y692" s="2406"/>
      <c r="Z692" s="2406"/>
      <c r="AA692" s="2406"/>
      <c r="AB692" s="240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36" t="s">
        <v>2134</v>
      </c>
      <c r="F694" s="2436"/>
      <c r="G694" s="2436"/>
      <c r="H694" s="2436"/>
      <c r="I694" s="2436"/>
      <c r="J694" s="2436"/>
      <c r="K694" s="2436"/>
      <c r="L694" s="2436"/>
      <c r="M694" s="2436"/>
      <c r="N694" s="2436"/>
      <c r="O694" s="2436"/>
      <c r="P694" s="2436"/>
      <c r="Q694" s="2436"/>
      <c r="R694" s="2436"/>
      <c r="S694" s="2436"/>
      <c r="T694" s="2436"/>
      <c r="U694" s="2436"/>
      <c r="V694" s="2436"/>
      <c r="W694" s="2436"/>
      <c r="X694" s="2436"/>
      <c r="Y694" s="2436"/>
      <c r="Z694" s="2436"/>
      <c r="AA694" s="2436"/>
      <c r="AB694" s="2436"/>
      <c r="AC694" s="536"/>
      <c r="AD694" s="536"/>
      <c r="AE694" s="536"/>
      <c r="AF694" s="2536" t="s">
        <v>1353</v>
      </c>
      <c r="AG694" s="2536"/>
      <c r="AH694" s="2536"/>
      <c r="AI694" s="2536"/>
      <c r="AJ694" s="2536"/>
      <c r="AK694" s="2536"/>
      <c r="AL694" s="2536"/>
      <c r="AN694" s="597"/>
      <c r="AW694" s="22" t="s">
        <v>2188</v>
      </c>
      <c r="AX694" s="550">
        <f>AX691+AX692+AX693</f>
        <v>12</v>
      </c>
    </row>
    <row r="695" spans="1:51" s="550" customFormat="1" ht="12.75" customHeight="1">
      <c r="B695" s="536"/>
      <c r="C695" s="940"/>
      <c r="D695" s="663"/>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536"/>
      <c r="AD695" s="536"/>
      <c r="AE695" s="616"/>
      <c r="AF695" s="536"/>
      <c r="AG695" s="536"/>
      <c r="AH695" s="536"/>
      <c r="AI695" s="536"/>
      <c r="AJ695" s="536"/>
      <c r="AK695" s="536"/>
      <c r="AL695" s="536"/>
      <c r="AN695" s="597"/>
      <c r="AO695" s="2450" t="b">
        <f>IF(Application!D211="Special Needs",IF(AY695&gt;=0.25,TRUE,FALSE),IF(AX695&gt;=0.25,TRUE,FALSE))</f>
        <v>1</v>
      </c>
      <c r="AP695" s="2450"/>
      <c r="AW695" s="22" t="s">
        <v>2189</v>
      </c>
      <c r="AX695" s="550">
        <f>IFERROR(AX694/AX690,0)</f>
        <v>0.26666666666666666</v>
      </c>
      <c r="AY695" s="550">
        <f>IFERROR(AX694/(AX690-AX689),0)</f>
        <v>0.35294117647058826</v>
      </c>
    </row>
    <row r="696" spans="1:51" s="550" customFormat="1" ht="12.75" customHeight="1">
      <c r="B696" s="536"/>
      <c r="C696" s="940"/>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6"/>
      <c r="F697" s="2436"/>
      <c r="G697" s="2436"/>
      <c r="H697" s="2436"/>
      <c r="I697" s="2436"/>
      <c r="J697" s="2436"/>
      <c r="K697" s="2436"/>
      <c r="L697" s="2436"/>
      <c r="M697" s="2436"/>
      <c r="N697" s="2436"/>
      <c r="O697" s="2436"/>
      <c r="P697" s="2436"/>
      <c r="Q697" s="2436"/>
      <c r="R697" s="2436"/>
      <c r="S697" s="2436"/>
      <c r="T697" s="2436"/>
      <c r="U697" s="2436"/>
      <c r="V697" s="2436"/>
      <c r="W697" s="2436"/>
      <c r="X697" s="2436"/>
      <c r="Y697" s="2436"/>
      <c r="Z697" s="2436"/>
      <c r="AA697" s="2436"/>
      <c r="AB697" s="243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36" t="s">
        <v>2135</v>
      </c>
      <c r="F699" s="2436"/>
      <c r="G699" s="2436"/>
      <c r="H699" s="2436"/>
      <c r="I699" s="2436"/>
      <c r="J699" s="2436"/>
      <c r="K699" s="2436"/>
      <c r="L699" s="2436"/>
      <c r="M699" s="2436"/>
      <c r="N699" s="2436"/>
      <c r="O699" s="2436"/>
      <c r="P699" s="2436"/>
      <c r="Q699" s="2436"/>
      <c r="R699" s="2436"/>
      <c r="S699" s="2436"/>
      <c r="T699" s="2436"/>
      <c r="U699" s="2436"/>
      <c r="V699" s="2436"/>
      <c r="W699" s="2436"/>
      <c r="X699" s="2436"/>
      <c r="Y699" s="2436"/>
      <c r="Z699" s="2436"/>
      <c r="AA699" s="2436"/>
      <c r="AB699" s="2436"/>
      <c r="AC699" s="536"/>
      <c r="AD699" s="536"/>
      <c r="AE699" s="536"/>
      <c r="AF699" s="2536" t="s">
        <v>1409</v>
      </c>
      <c r="AG699" s="2536"/>
      <c r="AH699" s="2536"/>
      <c r="AI699" s="2536"/>
      <c r="AJ699" s="2536"/>
      <c r="AK699" s="2536"/>
      <c r="AL699" s="2536"/>
      <c r="AN699" s="597"/>
      <c r="AO699" s="611" t="s">
        <v>510</v>
      </c>
      <c r="AP699" s="550">
        <v>1</v>
      </c>
    </row>
    <row r="700" spans="1:51" s="550" customFormat="1" ht="12" customHeight="1">
      <c r="B700" s="536"/>
      <c r="C700" s="931"/>
      <c r="E700" s="2436"/>
      <c r="F700" s="2436"/>
      <c r="G700" s="2436"/>
      <c r="H700" s="2436"/>
      <c r="I700" s="2436"/>
      <c r="J700" s="2436"/>
      <c r="K700" s="2436"/>
      <c r="L700" s="2436"/>
      <c r="M700" s="2436"/>
      <c r="N700" s="2436"/>
      <c r="O700" s="2436"/>
      <c r="P700" s="2436"/>
      <c r="Q700" s="2436"/>
      <c r="R700" s="2436"/>
      <c r="S700" s="2436"/>
      <c r="T700" s="2436"/>
      <c r="U700" s="2436"/>
      <c r="V700" s="2436"/>
      <c r="W700" s="2436"/>
      <c r="X700" s="2436"/>
      <c r="Y700" s="2436"/>
      <c r="Z700" s="2436"/>
      <c r="AA700" s="2436"/>
      <c r="AB700" s="2436"/>
      <c r="AC700" s="536"/>
      <c r="AD700" s="536"/>
      <c r="AE700" s="616"/>
      <c r="AF700" s="536"/>
      <c r="AG700" s="536"/>
      <c r="AH700" s="536"/>
      <c r="AI700" s="536"/>
      <c r="AJ700" s="536"/>
      <c r="AK700" s="536"/>
      <c r="AL700" s="536"/>
      <c r="AN700" s="597"/>
    </row>
    <row r="701" spans="1:51" s="550" customFormat="1" ht="12" customHeight="1">
      <c r="B701" s="536"/>
      <c r="C701" s="931"/>
      <c r="D701" s="536"/>
      <c r="E701" s="2436"/>
      <c r="F701" s="2436"/>
      <c r="G701" s="2436"/>
      <c r="H701" s="2436"/>
      <c r="I701" s="2436"/>
      <c r="J701" s="2436"/>
      <c r="K701" s="2436"/>
      <c r="L701" s="2436"/>
      <c r="M701" s="2436"/>
      <c r="N701" s="2436"/>
      <c r="O701" s="2436"/>
      <c r="P701" s="2436"/>
      <c r="Q701" s="2436"/>
      <c r="R701" s="2436"/>
      <c r="S701" s="2436"/>
      <c r="T701" s="2436"/>
      <c r="U701" s="2436"/>
      <c r="V701" s="2436"/>
      <c r="W701" s="2436"/>
      <c r="X701" s="2436"/>
      <c r="Y701" s="2436"/>
      <c r="Z701" s="2436"/>
      <c r="AA701" s="2436"/>
      <c r="AB701" s="2436"/>
      <c r="AC701" s="536"/>
      <c r="AD701" s="536"/>
      <c r="AE701" s="616"/>
      <c r="AF701" s="536"/>
      <c r="AG701" s="536"/>
      <c r="AH701" s="536"/>
      <c r="AI701" s="536"/>
      <c r="AJ701" s="536"/>
      <c r="AK701" s="536"/>
      <c r="AL701" s="536"/>
      <c r="AN701" s="597"/>
    </row>
    <row r="702" spans="1:51" s="550" customFormat="1" ht="12" customHeight="1">
      <c r="B702" s="536"/>
      <c r="C702" s="931"/>
      <c r="D702" s="536"/>
      <c r="E702" s="2436"/>
      <c r="F702" s="2436"/>
      <c r="G702" s="2436"/>
      <c r="H702" s="2436"/>
      <c r="I702" s="2436"/>
      <c r="J702" s="2436"/>
      <c r="K702" s="2436"/>
      <c r="L702" s="2436"/>
      <c r="M702" s="2436"/>
      <c r="N702" s="2436"/>
      <c r="O702" s="2436"/>
      <c r="P702" s="2436"/>
      <c r="Q702" s="2436"/>
      <c r="R702" s="2436"/>
      <c r="S702" s="2436"/>
      <c r="T702" s="2436"/>
      <c r="U702" s="2436"/>
      <c r="V702" s="2436"/>
      <c r="W702" s="2436"/>
      <c r="X702" s="2436"/>
      <c r="Y702" s="2436"/>
      <c r="Z702" s="2436"/>
      <c r="AA702" s="2436"/>
      <c r="AB702" s="2436"/>
      <c r="AC702" s="536"/>
      <c r="AD702" s="536"/>
      <c r="AE702" s="616"/>
      <c r="AF702" s="536"/>
      <c r="AG702" s="536"/>
      <c r="AH702" s="536"/>
      <c r="AI702" s="536"/>
      <c r="AJ702" s="536"/>
      <c r="AK702" s="536"/>
      <c r="AL702" s="536"/>
      <c r="AN702" s="597"/>
    </row>
    <row r="703" spans="1:51" s="570" customFormat="1" ht="12.9" customHeight="1">
      <c r="A703" s="550"/>
      <c r="B703" s="536"/>
      <c r="C703" s="931"/>
      <c r="D703" s="536"/>
      <c r="E703" s="2436"/>
      <c r="F703" s="2436"/>
      <c r="G703" s="2436"/>
      <c r="H703" s="2436"/>
      <c r="I703" s="2436"/>
      <c r="J703" s="2436"/>
      <c r="K703" s="2436"/>
      <c r="L703" s="2436"/>
      <c r="M703" s="2436"/>
      <c r="N703" s="2436"/>
      <c r="O703" s="2436"/>
      <c r="P703" s="2436"/>
      <c r="Q703" s="2436"/>
      <c r="R703" s="2436"/>
      <c r="S703" s="2436"/>
      <c r="T703" s="2436"/>
      <c r="U703" s="2436"/>
      <c r="V703" s="2436"/>
      <c r="W703" s="2436"/>
      <c r="X703" s="2436"/>
      <c r="Y703" s="2436"/>
      <c r="Z703" s="2436"/>
      <c r="AA703" s="2436"/>
      <c r="AB703" s="243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36" t="s">
        <v>1694</v>
      </c>
      <c r="F705" s="2436"/>
      <c r="G705" s="2436"/>
      <c r="H705" s="2436"/>
      <c r="I705" s="2436"/>
      <c r="J705" s="2436"/>
      <c r="K705" s="2436"/>
      <c r="L705" s="2436"/>
      <c r="M705" s="2436"/>
      <c r="N705" s="2436"/>
      <c r="O705" s="2436"/>
      <c r="P705" s="2436"/>
      <c r="Q705" s="2436"/>
      <c r="R705" s="2436"/>
      <c r="S705" s="2436"/>
      <c r="T705" s="2436"/>
      <c r="U705" s="2436"/>
      <c r="V705" s="2436"/>
      <c r="W705" s="2436"/>
      <c r="X705" s="2436"/>
      <c r="Y705" s="2436"/>
      <c r="Z705" s="2436"/>
      <c r="AA705" s="2436"/>
      <c r="AB705" s="2436"/>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36"/>
      <c r="F706" s="2436"/>
      <c r="G706" s="2436"/>
      <c r="H706" s="2436"/>
      <c r="I706" s="2436"/>
      <c r="J706" s="2436"/>
      <c r="K706" s="2436"/>
      <c r="L706" s="2436"/>
      <c r="M706" s="2436"/>
      <c r="N706" s="2436"/>
      <c r="O706" s="2436"/>
      <c r="P706" s="2436"/>
      <c r="Q706" s="2436"/>
      <c r="R706" s="2436"/>
      <c r="S706" s="2436"/>
      <c r="T706" s="2436"/>
      <c r="U706" s="2436"/>
      <c r="V706" s="2436"/>
      <c r="W706" s="2436"/>
      <c r="X706" s="2436"/>
      <c r="Y706" s="2436"/>
      <c r="Z706" s="2436"/>
      <c r="AA706" s="2436"/>
      <c r="AB706" s="243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36"/>
      <c r="F707" s="2436"/>
      <c r="G707" s="2436"/>
      <c r="H707" s="2436"/>
      <c r="I707" s="2436"/>
      <c r="J707" s="2436"/>
      <c r="K707" s="2436"/>
      <c r="L707" s="2436"/>
      <c r="M707" s="2436"/>
      <c r="N707" s="2436"/>
      <c r="O707" s="2436"/>
      <c r="P707" s="2436"/>
      <c r="Q707" s="2436"/>
      <c r="R707" s="2436"/>
      <c r="S707" s="2436"/>
      <c r="T707" s="2436"/>
      <c r="U707" s="2436"/>
      <c r="V707" s="2436"/>
      <c r="W707" s="2436"/>
      <c r="X707" s="2436"/>
      <c r="Y707" s="2436"/>
      <c r="Z707" s="2436"/>
      <c r="AA707" s="2436"/>
      <c r="AB707" s="243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60" t="s">
        <v>510</v>
      </c>
      <c r="I709" s="246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43">
        <f>VLOOKUP($H$709,$AO$703:$AP$706,2,FALSE)</f>
        <v>3</v>
      </c>
      <c r="AK711" s="244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48" t="s">
        <v>1696</v>
      </c>
      <c r="F715" s="2548"/>
      <c r="G715" s="2548"/>
      <c r="H715" s="2548"/>
      <c r="I715" s="2548"/>
      <c r="J715" s="2548"/>
      <c r="K715" s="2548"/>
      <c r="L715" s="2548"/>
      <c r="M715" s="2548"/>
      <c r="N715" s="2548"/>
      <c r="O715" s="2548"/>
      <c r="P715" s="2548"/>
      <c r="Q715" s="2548"/>
      <c r="R715" s="2548"/>
      <c r="S715" s="2548"/>
      <c r="T715" s="2548"/>
      <c r="U715" s="2548"/>
      <c r="V715" s="2548"/>
      <c r="W715" s="2548"/>
      <c r="X715" s="2548"/>
      <c r="Y715" s="2548"/>
      <c r="Z715" s="2548"/>
      <c r="AA715" s="2548"/>
      <c r="AB715" s="2548"/>
      <c r="AC715" s="536"/>
      <c r="AD715" s="536"/>
      <c r="AE715" s="536"/>
      <c r="AF715" s="2536" t="s">
        <v>1353</v>
      </c>
      <c r="AG715" s="2536"/>
      <c r="AH715" s="2536"/>
      <c r="AI715" s="2536"/>
      <c r="AJ715" s="2536"/>
      <c r="AK715" s="2536"/>
      <c r="AL715" s="2536"/>
      <c r="AM715" s="550"/>
      <c r="AN715" s="684"/>
      <c r="AP715" s="570" t="s">
        <v>1433</v>
      </c>
    </row>
    <row r="716" spans="1:43" s="570" customFormat="1" ht="11.85" customHeight="1">
      <c r="A716" s="550"/>
      <c r="B716" s="536"/>
      <c r="C716" s="933"/>
      <c r="D716" s="663"/>
      <c r="E716" s="2548"/>
      <c r="F716" s="2548"/>
      <c r="G716" s="2548"/>
      <c r="H716" s="2548"/>
      <c r="I716" s="2548"/>
      <c r="J716" s="2548"/>
      <c r="K716" s="2548"/>
      <c r="L716" s="2548"/>
      <c r="M716" s="2548"/>
      <c r="N716" s="2548"/>
      <c r="O716" s="2548"/>
      <c r="P716" s="2548"/>
      <c r="Q716" s="2548"/>
      <c r="R716" s="2548"/>
      <c r="S716" s="2548"/>
      <c r="T716" s="2548"/>
      <c r="U716" s="2548"/>
      <c r="V716" s="2548"/>
      <c r="W716" s="2548"/>
      <c r="X716" s="2548"/>
      <c r="Y716" s="2548"/>
      <c r="Z716" s="2548"/>
      <c r="AA716" s="2548"/>
      <c r="AB716" s="2548"/>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48"/>
      <c r="F717" s="2548"/>
      <c r="G717" s="2548"/>
      <c r="H717" s="2548"/>
      <c r="I717" s="2548"/>
      <c r="J717" s="2548"/>
      <c r="K717" s="2548"/>
      <c r="L717" s="2548"/>
      <c r="M717" s="2548"/>
      <c r="N717" s="2548"/>
      <c r="O717" s="2548"/>
      <c r="P717" s="2548"/>
      <c r="Q717" s="2548"/>
      <c r="R717" s="2548"/>
      <c r="S717" s="2548"/>
      <c r="T717" s="2548"/>
      <c r="U717" s="2548"/>
      <c r="V717" s="2548"/>
      <c r="W717" s="2548"/>
      <c r="X717" s="2548"/>
      <c r="Y717" s="2548"/>
      <c r="Z717" s="2548"/>
      <c r="AA717" s="2548"/>
      <c r="AB717" s="2548"/>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49" t="s">
        <v>1436</v>
      </c>
      <c r="F719" s="2549"/>
      <c r="G719" s="2549"/>
      <c r="H719" s="2549"/>
      <c r="I719" s="2549"/>
      <c r="J719" s="2549"/>
      <c r="K719" s="2549"/>
      <c r="L719" s="2549"/>
      <c r="M719" s="2549"/>
      <c r="N719" s="2549"/>
      <c r="O719" s="2549"/>
      <c r="P719" s="2549"/>
      <c r="Q719" s="2549"/>
      <c r="R719" s="2549"/>
      <c r="S719" s="2549"/>
      <c r="T719" s="2549"/>
      <c r="U719" s="2549"/>
      <c r="V719" s="2549"/>
      <c r="W719" s="2549"/>
      <c r="X719" s="2549"/>
      <c r="Y719" s="2549"/>
      <c r="Z719" s="2549"/>
      <c r="AA719" s="2549"/>
      <c r="AB719" s="2549"/>
      <c r="AC719" s="536"/>
      <c r="AD719" s="536"/>
      <c r="AE719" s="536"/>
      <c r="AF719" s="2536" t="s">
        <v>1409</v>
      </c>
      <c r="AG719" s="2536"/>
      <c r="AH719" s="2536"/>
      <c r="AI719" s="2536"/>
      <c r="AJ719" s="2536"/>
      <c r="AK719" s="2536"/>
      <c r="AL719" s="2536"/>
      <c r="AM719" s="550"/>
      <c r="AN719" s="685"/>
    </row>
    <row r="720" spans="1:43" s="570" customFormat="1" ht="12.75" customHeight="1">
      <c r="A720" s="550"/>
      <c r="B720" s="536"/>
      <c r="C720" s="933"/>
      <c r="D720" s="536"/>
      <c r="E720" s="2549"/>
      <c r="F720" s="2549"/>
      <c r="G720" s="2549"/>
      <c r="H720" s="2549"/>
      <c r="I720" s="2549"/>
      <c r="J720" s="2549"/>
      <c r="K720" s="2549"/>
      <c r="L720" s="2549"/>
      <c r="M720" s="2549"/>
      <c r="N720" s="2549"/>
      <c r="O720" s="2549"/>
      <c r="P720" s="2549"/>
      <c r="Q720" s="2549"/>
      <c r="R720" s="2549"/>
      <c r="S720" s="2549"/>
      <c r="T720" s="2549"/>
      <c r="U720" s="2549"/>
      <c r="V720" s="2549"/>
      <c r="W720" s="2549"/>
      <c r="X720" s="2549"/>
      <c r="Y720" s="2549"/>
      <c r="Z720" s="2549"/>
      <c r="AA720" s="2549"/>
      <c r="AB720" s="2549"/>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49"/>
      <c r="F721" s="2549"/>
      <c r="G721" s="2549"/>
      <c r="H721" s="2549"/>
      <c r="I721" s="2549"/>
      <c r="J721" s="2549"/>
      <c r="K721" s="2549"/>
      <c r="L721" s="2549"/>
      <c r="M721" s="2549"/>
      <c r="N721" s="2549"/>
      <c r="O721" s="2549"/>
      <c r="P721" s="2549"/>
      <c r="Q721" s="2549"/>
      <c r="R721" s="2549"/>
      <c r="S721" s="2549"/>
      <c r="T721" s="2549"/>
      <c r="U721" s="2549"/>
      <c r="V721" s="2549"/>
      <c r="W721" s="2549"/>
      <c r="X721" s="2549"/>
      <c r="Y721" s="2549"/>
      <c r="Z721" s="2549"/>
      <c r="AA721" s="2549"/>
      <c r="AB721" s="2549"/>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60" t="s">
        <v>592</v>
      </c>
      <c r="I723" s="246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43">
        <f>VLOOKUP($H$723,$AP$720:$AQ$722,2,FALSE)</f>
        <v>0</v>
      </c>
      <c r="AK725" s="2445"/>
      <c r="AL725" s="595"/>
      <c r="AM725" s="550"/>
      <c r="AN725" s="684"/>
      <c r="AP725" s="2443"/>
      <c r="AQ725" s="244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36" t="s">
        <v>1697</v>
      </c>
      <c r="F729" s="2436"/>
      <c r="G729" s="2436"/>
      <c r="H729" s="2436"/>
      <c r="I729" s="2436"/>
      <c r="J729" s="2436"/>
      <c r="K729" s="2436"/>
      <c r="L729" s="2436"/>
      <c r="M729" s="2436"/>
      <c r="N729" s="2436"/>
      <c r="O729" s="2436"/>
      <c r="P729" s="2436"/>
      <c r="Q729" s="2436"/>
      <c r="R729" s="2436"/>
      <c r="S729" s="2436"/>
      <c r="T729" s="2436"/>
      <c r="U729" s="2436"/>
      <c r="V729" s="2436"/>
      <c r="W729" s="2436"/>
      <c r="X729" s="2436"/>
      <c r="Y729" s="2436"/>
      <c r="Z729" s="2436"/>
      <c r="AA729" s="2436"/>
      <c r="AB729" s="2436"/>
      <c r="AC729" s="536"/>
      <c r="AD729" s="536"/>
      <c r="AE729" s="536"/>
      <c r="AF729" s="2536" t="s">
        <v>1353</v>
      </c>
      <c r="AG729" s="2536"/>
      <c r="AH729" s="2536"/>
      <c r="AI729" s="2536"/>
      <c r="AJ729" s="2536"/>
      <c r="AK729" s="2536"/>
      <c r="AL729" s="2536"/>
      <c r="AM729" s="550"/>
      <c r="AN729" s="684"/>
      <c r="AT729" s="14"/>
      <c r="AU729" s="14"/>
      <c r="AV729" s="14"/>
      <c r="AW729" s="14"/>
      <c r="AX729" s="14"/>
      <c r="AY729" s="14"/>
      <c r="AZ729" s="14"/>
    </row>
    <row r="730" spans="1:81" s="570" customFormat="1">
      <c r="A730" s="550"/>
      <c r="B730" s="536"/>
      <c r="C730" s="933"/>
      <c r="D730" s="663"/>
      <c r="E730" s="2436"/>
      <c r="F730" s="2436"/>
      <c r="G730" s="2436"/>
      <c r="H730" s="2436"/>
      <c r="I730" s="2436"/>
      <c r="J730" s="2436"/>
      <c r="K730" s="2436"/>
      <c r="L730" s="2436"/>
      <c r="M730" s="2436"/>
      <c r="N730" s="2436"/>
      <c r="O730" s="2436"/>
      <c r="P730" s="2436"/>
      <c r="Q730" s="2436"/>
      <c r="R730" s="2436"/>
      <c r="S730" s="2436"/>
      <c r="T730" s="2436"/>
      <c r="U730" s="2436"/>
      <c r="V730" s="2436"/>
      <c r="W730" s="2436"/>
      <c r="X730" s="2436"/>
      <c r="Y730" s="2436"/>
      <c r="Z730" s="2436"/>
      <c r="AA730" s="2436"/>
      <c r="AB730" s="243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36" t="s">
        <v>1440</v>
      </c>
      <c r="F732" s="2436"/>
      <c r="G732" s="2436"/>
      <c r="H732" s="2436"/>
      <c r="I732" s="2436"/>
      <c r="J732" s="2436"/>
      <c r="K732" s="2436"/>
      <c r="L732" s="2436"/>
      <c r="M732" s="2436"/>
      <c r="N732" s="2436"/>
      <c r="O732" s="2436"/>
      <c r="P732" s="2436"/>
      <c r="Q732" s="2436"/>
      <c r="R732" s="2436"/>
      <c r="S732" s="2436"/>
      <c r="T732" s="2436"/>
      <c r="U732" s="2436"/>
      <c r="V732" s="2436"/>
      <c r="W732" s="2436"/>
      <c r="X732" s="2436"/>
      <c r="Y732" s="2436"/>
      <c r="Z732" s="2436"/>
      <c r="AA732" s="2436"/>
      <c r="AB732" s="2436"/>
      <c r="AC732" s="536"/>
      <c r="AD732" s="536"/>
      <c r="AE732" s="536"/>
      <c r="AF732" s="2536" t="s">
        <v>1409</v>
      </c>
      <c r="AG732" s="2536"/>
      <c r="AH732" s="2536"/>
      <c r="AI732" s="2536"/>
      <c r="AJ732" s="2536"/>
      <c r="AK732" s="2536"/>
      <c r="AL732" s="2536"/>
      <c r="AM732" s="550"/>
      <c r="AN732" s="684"/>
      <c r="AT732" s="14"/>
      <c r="AU732" s="14"/>
      <c r="AV732" s="14"/>
      <c r="AW732" s="14"/>
      <c r="AX732" s="14"/>
      <c r="AY732" s="14"/>
      <c r="AZ732" s="14"/>
    </row>
    <row r="733" spans="1:81" s="570" customFormat="1">
      <c r="A733" s="550"/>
      <c r="B733" s="536"/>
      <c r="C733" s="933"/>
      <c r="D733" s="536"/>
      <c r="E733" s="2436"/>
      <c r="F733" s="2436"/>
      <c r="G733" s="2436"/>
      <c r="H733" s="2436"/>
      <c r="I733" s="2436"/>
      <c r="J733" s="2436"/>
      <c r="K733" s="2436"/>
      <c r="L733" s="2436"/>
      <c r="M733" s="2436"/>
      <c r="N733" s="2436"/>
      <c r="O733" s="2436"/>
      <c r="P733" s="2436"/>
      <c r="Q733" s="2436"/>
      <c r="R733" s="2436"/>
      <c r="S733" s="2436"/>
      <c r="T733" s="2436"/>
      <c r="U733" s="2436"/>
      <c r="V733" s="2436"/>
      <c r="W733" s="2436"/>
      <c r="X733" s="2436"/>
      <c r="Y733" s="2436"/>
      <c r="Z733" s="2436"/>
      <c r="AA733" s="2436"/>
      <c r="AB733" s="243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60" t="s">
        <v>592</v>
      </c>
      <c r="I735" s="246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43">
        <f>VLOOKUP($H$735,$AO$666:$AP$668,2,FALSE)</f>
        <v>0</v>
      </c>
      <c r="AK737" s="244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36" t="s">
        <v>1443</v>
      </c>
      <c r="F741" s="2436"/>
      <c r="G741" s="2436"/>
      <c r="H741" s="2436"/>
      <c r="I741" s="2436"/>
      <c r="J741" s="2436"/>
      <c r="K741" s="2436"/>
      <c r="L741" s="2436"/>
      <c r="M741" s="2436"/>
      <c r="N741" s="2436"/>
      <c r="O741" s="2436"/>
      <c r="P741" s="2436"/>
      <c r="Q741" s="2436"/>
      <c r="R741" s="2436"/>
      <c r="S741" s="2436"/>
      <c r="T741" s="2436"/>
      <c r="U741" s="2436"/>
      <c r="V741" s="2436"/>
      <c r="W741" s="2436"/>
      <c r="X741" s="2436"/>
      <c r="Y741" s="2436"/>
      <c r="Z741" s="2436"/>
      <c r="AA741" s="2436"/>
      <c r="AB741" s="2436"/>
      <c r="AC741" s="536"/>
      <c r="AD741" s="536"/>
      <c r="AE741" s="536"/>
      <c r="AF741" s="2536" t="s">
        <v>1353</v>
      </c>
      <c r="AG741" s="2536"/>
      <c r="AH741" s="2536"/>
      <c r="AI741" s="2536"/>
      <c r="AJ741" s="2536"/>
      <c r="AK741" s="2536"/>
      <c r="AL741" s="2536"/>
      <c r="AM741" s="550"/>
      <c r="AN741" s="684"/>
      <c r="AT741" s="14"/>
      <c r="AU741" s="14"/>
      <c r="AV741" s="14"/>
      <c r="AW741" s="14"/>
      <c r="AX741" s="14"/>
      <c r="AY741" s="14"/>
      <c r="AZ741" s="14"/>
    </row>
    <row r="742" spans="1:81" s="570" customFormat="1">
      <c r="A742" s="550"/>
      <c r="B742" s="536"/>
      <c r="C742" s="931"/>
      <c r="D742" s="663"/>
      <c r="E742" s="2436"/>
      <c r="F742" s="2436"/>
      <c r="G742" s="2436"/>
      <c r="H742" s="2436"/>
      <c r="I742" s="2436"/>
      <c r="J742" s="2436"/>
      <c r="K742" s="2436"/>
      <c r="L742" s="2436"/>
      <c r="M742" s="2436"/>
      <c r="N742" s="2436"/>
      <c r="O742" s="2436"/>
      <c r="P742" s="2436"/>
      <c r="Q742" s="2436"/>
      <c r="R742" s="2436"/>
      <c r="S742" s="2436"/>
      <c r="T742" s="2436"/>
      <c r="U742" s="2436"/>
      <c r="V742" s="2436"/>
      <c r="W742" s="2436"/>
      <c r="X742" s="2436"/>
      <c r="Y742" s="2436"/>
      <c r="Z742" s="2436"/>
      <c r="AA742" s="2436"/>
      <c r="AB742" s="243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6"/>
      <c r="F743" s="2436"/>
      <c r="G743" s="2436"/>
      <c r="H743" s="2436"/>
      <c r="I743" s="2436"/>
      <c r="J743" s="2436"/>
      <c r="K743" s="2436"/>
      <c r="L743" s="2436"/>
      <c r="M743" s="2436"/>
      <c r="N743" s="2436"/>
      <c r="O743" s="2436"/>
      <c r="P743" s="2436"/>
      <c r="Q743" s="2436"/>
      <c r="R743" s="2436"/>
      <c r="S743" s="2436"/>
      <c r="T743" s="2436"/>
      <c r="U743" s="2436"/>
      <c r="V743" s="2436"/>
      <c r="W743" s="2436"/>
      <c r="X743" s="2436"/>
      <c r="Y743" s="2436"/>
      <c r="Z743" s="2436"/>
      <c r="AA743" s="2436"/>
      <c r="AB743" s="243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6"/>
      <c r="F744" s="2436"/>
      <c r="G744" s="2436"/>
      <c r="H744" s="2436"/>
      <c r="I744" s="2436"/>
      <c r="J744" s="2436"/>
      <c r="K744" s="2436"/>
      <c r="L744" s="2436"/>
      <c r="M744" s="2436"/>
      <c r="N744" s="2436"/>
      <c r="O744" s="2436"/>
      <c r="P744" s="2436"/>
      <c r="Q744" s="2436"/>
      <c r="R744" s="2436"/>
      <c r="S744" s="2436"/>
      <c r="T744" s="2436"/>
      <c r="U744" s="2436"/>
      <c r="V744" s="2436"/>
      <c r="W744" s="2436"/>
      <c r="X744" s="2436"/>
      <c r="Y744" s="2436"/>
      <c r="Z744" s="2436"/>
      <c r="AA744" s="2436"/>
      <c r="AB744" s="243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36" t="s">
        <v>1444</v>
      </c>
      <c r="F746" s="2436"/>
      <c r="G746" s="2436"/>
      <c r="H746" s="2436"/>
      <c r="I746" s="2436"/>
      <c r="J746" s="2436"/>
      <c r="K746" s="2436"/>
      <c r="L746" s="2436"/>
      <c r="M746" s="2436"/>
      <c r="N746" s="2436"/>
      <c r="O746" s="2436"/>
      <c r="P746" s="2436"/>
      <c r="Q746" s="2436"/>
      <c r="R746" s="2436"/>
      <c r="S746" s="2436"/>
      <c r="T746" s="2436"/>
      <c r="U746" s="2436"/>
      <c r="V746" s="2436"/>
      <c r="W746" s="2436"/>
      <c r="X746" s="2436"/>
      <c r="Y746" s="2436"/>
      <c r="Z746" s="2436"/>
      <c r="AA746" s="2436"/>
      <c r="AB746" s="575"/>
      <c r="AC746" s="536"/>
      <c r="AD746" s="536"/>
      <c r="AE746" s="536"/>
      <c r="AF746" s="2536" t="s">
        <v>1409</v>
      </c>
      <c r="AG746" s="2536"/>
      <c r="AH746" s="2536"/>
      <c r="AI746" s="2536"/>
      <c r="AJ746" s="2536"/>
      <c r="AK746" s="2536"/>
      <c r="AL746" s="2536"/>
      <c r="AM746" s="550"/>
      <c r="AN746" s="684"/>
      <c r="AO746" s="30"/>
      <c r="AP746" s="14"/>
    </row>
    <row r="747" spans="1:81" s="570" customFormat="1">
      <c r="A747" s="550"/>
      <c r="B747" s="536"/>
      <c r="C747" s="931"/>
      <c r="D747" s="663"/>
      <c r="E747" s="2436"/>
      <c r="F747" s="2436"/>
      <c r="G747" s="2436"/>
      <c r="H747" s="2436"/>
      <c r="I747" s="2436"/>
      <c r="J747" s="2436"/>
      <c r="K747" s="2436"/>
      <c r="L747" s="2436"/>
      <c r="M747" s="2436"/>
      <c r="N747" s="2436"/>
      <c r="O747" s="2436"/>
      <c r="P747" s="2436"/>
      <c r="Q747" s="2436"/>
      <c r="R747" s="2436"/>
      <c r="S747" s="2436"/>
      <c r="T747" s="2436"/>
      <c r="U747" s="2436"/>
      <c r="V747" s="2436"/>
      <c r="W747" s="2436"/>
      <c r="X747" s="2436"/>
      <c r="Y747" s="2436"/>
      <c r="Z747" s="2436"/>
      <c r="AA747" s="243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6"/>
      <c r="F748" s="2436"/>
      <c r="G748" s="2436"/>
      <c r="H748" s="2436"/>
      <c r="I748" s="2436"/>
      <c r="J748" s="2436"/>
      <c r="K748" s="2436"/>
      <c r="L748" s="2436"/>
      <c r="M748" s="2436"/>
      <c r="N748" s="2436"/>
      <c r="O748" s="2436"/>
      <c r="P748" s="2436"/>
      <c r="Q748" s="2436"/>
      <c r="R748" s="2436"/>
      <c r="S748" s="2436"/>
      <c r="T748" s="2436"/>
      <c r="U748" s="2436"/>
      <c r="V748" s="2436"/>
      <c r="W748" s="2436"/>
      <c r="X748" s="2436"/>
      <c r="Y748" s="2436"/>
      <c r="Z748" s="2436"/>
      <c r="AA748" s="243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6"/>
      <c r="F749" s="2436"/>
      <c r="G749" s="2436"/>
      <c r="H749" s="2436"/>
      <c r="I749" s="2436"/>
      <c r="J749" s="2436"/>
      <c r="K749" s="2436"/>
      <c r="L749" s="2436"/>
      <c r="M749" s="2436"/>
      <c r="N749" s="2436"/>
      <c r="O749" s="2436"/>
      <c r="P749" s="2436"/>
      <c r="Q749" s="2436"/>
      <c r="R749" s="2436"/>
      <c r="S749" s="2436"/>
      <c r="T749" s="2436"/>
      <c r="U749" s="2436"/>
      <c r="V749" s="2436"/>
      <c r="W749" s="2436"/>
      <c r="X749" s="2436"/>
      <c r="Y749" s="2436"/>
      <c r="Z749" s="2436"/>
      <c r="AA749" s="243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60" t="s">
        <v>688</v>
      </c>
      <c r="I751" s="246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43">
        <f>VLOOKUP($H$751,$AO$680:$AP$682,2,FALSE)</f>
        <v>3</v>
      </c>
      <c r="AK753" s="244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36" t="s">
        <v>1446</v>
      </c>
      <c r="F757" s="2436"/>
      <c r="G757" s="2436"/>
      <c r="H757" s="2436"/>
      <c r="I757" s="2436"/>
      <c r="J757" s="2436"/>
      <c r="K757" s="2436"/>
      <c r="L757" s="2436"/>
      <c r="M757" s="2436"/>
      <c r="N757" s="2436"/>
      <c r="O757" s="2436"/>
      <c r="P757" s="2436"/>
      <c r="Q757" s="2436"/>
      <c r="R757" s="2436"/>
      <c r="S757" s="2436"/>
      <c r="T757" s="2436"/>
      <c r="U757" s="2436"/>
      <c r="V757" s="2436"/>
      <c r="W757" s="2436"/>
      <c r="X757" s="2436"/>
      <c r="Y757" s="2436"/>
      <c r="Z757" s="2436"/>
      <c r="AA757" s="2436"/>
      <c r="AB757" s="2436"/>
      <c r="AC757" s="536"/>
      <c r="AD757" s="536"/>
      <c r="AE757" s="536"/>
      <c r="AF757" s="2536" t="s">
        <v>1409</v>
      </c>
      <c r="AG757" s="2536"/>
      <c r="AH757" s="2536"/>
      <c r="AI757" s="2536"/>
      <c r="AJ757" s="2536"/>
      <c r="AK757" s="2536"/>
      <c r="AL757" s="253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6"/>
      <c r="F758" s="2436"/>
      <c r="G758" s="2436"/>
      <c r="H758" s="2436"/>
      <c r="I758" s="2436"/>
      <c r="J758" s="2436"/>
      <c r="K758" s="2436"/>
      <c r="L758" s="2436"/>
      <c r="M758" s="2436"/>
      <c r="N758" s="2436"/>
      <c r="O758" s="2436"/>
      <c r="P758" s="2436"/>
      <c r="Q758" s="2436"/>
      <c r="R758" s="2436"/>
      <c r="S758" s="2436"/>
      <c r="T758" s="2436"/>
      <c r="U758" s="2436"/>
      <c r="V758" s="2436"/>
      <c r="W758" s="2436"/>
      <c r="X758" s="2436"/>
      <c r="Y758" s="2436"/>
      <c r="Z758" s="2436"/>
      <c r="AA758" s="2436"/>
      <c r="AB758" s="243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36" t="s">
        <v>1447</v>
      </c>
      <c r="F760" s="2436"/>
      <c r="G760" s="2436"/>
      <c r="H760" s="2436"/>
      <c r="I760" s="2436"/>
      <c r="J760" s="2436"/>
      <c r="K760" s="2436"/>
      <c r="L760" s="2436"/>
      <c r="M760" s="2436"/>
      <c r="N760" s="2436"/>
      <c r="O760" s="2436"/>
      <c r="P760" s="2436"/>
      <c r="Q760" s="2436"/>
      <c r="R760" s="2436"/>
      <c r="S760" s="2436"/>
      <c r="T760" s="2436"/>
      <c r="U760" s="2436"/>
      <c r="V760" s="2436"/>
      <c r="W760" s="2436"/>
      <c r="X760" s="2436"/>
      <c r="Y760" s="2436"/>
      <c r="Z760" s="2436"/>
      <c r="AA760" s="2436"/>
      <c r="AB760" s="2436"/>
      <c r="AC760" s="536"/>
      <c r="AD760" s="536"/>
      <c r="AE760" s="536"/>
      <c r="AF760" s="2536" t="s">
        <v>1426</v>
      </c>
      <c r="AG760" s="2536"/>
      <c r="AH760" s="2536"/>
      <c r="AI760" s="2536"/>
      <c r="AJ760" s="2536"/>
      <c r="AK760" s="2536"/>
      <c r="AL760" s="253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6"/>
      <c r="F761" s="2436"/>
      <c r="G761" s="2436"/>
      <c r="H761" s="2436"/>
      <c r="I761" s="2436"/>
      <c r="J761" s="2436"/>
      <c r="K761" s="2436"/>
      <c r="L761" s="2436"/>
      <c r="M761" s="2436"/>
      <c r="N761" s="2436"/>
      <c r="O761" s="2436"/>
      <c r="P761" s="2436"/>
      <c r="Q761" s="2436"/>
      <c r="R761" s="2436"/>
      <c r="S761" s="2436"/>
      <c r="T761" s="2436"/>
      <c r="U761" s="2436"/>
      <c r="V761" s="2436"/>
      <c r="W761" s="2436"/>
      <c r="X761" s="2436"/>
      <c r="Y761" s="2436"/>
      <c r="Z761" s="2436"/>
      <c r="AA761" s="2436"/>
      <c r="AB761" s="243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60" t="s">
        <v>688</v>
      </c>
      <c r="I763" s="246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43">
        <f>VLOOKUP($H$763,$AO$697:$AP$699,2,FALSE)</f>
        <v>2</v>
      </c>
      <c r="AK765" s="244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36" t="s">
        <v>1693</v>
      </c>
      <c r="F769" s="2436"/>
      <c r="G769" s="2436"/>
      <c r="H769" s="2436"/>
      <c r="I769" s="2436"/>
      <c r="J769" s="2436"/>
      <c r="K769" s="2436"/>
      <c r="L769" s="2436"/>
      <c r="M769" s="2436"/>
      <c r="N769" s="2436"/>
      <c r="O769" s="2436"/>
      <c r="P769" s="2436"/>
      <c r="Q769" s="2436"/>
      <c r="R769" s="2436"/>
      <c r="S769" s="2436"/>
      <c r="T769" s="2436"/>
      <c r="U769" s="2436"/>
      <c r="V769" s="2436"/>
      <c r="W769" s="2436"/>
      <c r="X769" s="2436"/>
      <c r="Y769" s="2436"/>
      <c r="Z769" s="2436"/>
      <c r="AA769" s="2436"/>
      <c r="AB769" s="2436"/>
      <c r="AC769" s="2436"/>
      <c r="AD769" s="2436"/>
      <c r="AE769" s="536"/>
      <c r="AF769" s="2536" t="s">
        <v>1409</v>
      </c>
      <c r="AG769" s="2536"/>
      <c r="AH769" s="2536"/>
      <c r="AI769" s="2536"/>
      <c r="AJ769" s="2536"/>
      <c r="AK769" s="2536"/>
      <c r="AL769" s="2536"/>
      <c r="AM769" s="613"/>
      <c r="AN769" s="684"/>
      <c r="AO769" s="550" t="s">
        <v>592</v>
      </c>
      <c r="AP769" s="673">
        <v>0</v>
      </c>
    </row>
    <row r="770" spans="1:81" s="570" customFormat="1" ht="13.65" customHeight="1">
      <c r="A770" s="550"/>
      <c r="B770" s="616"/>
      <c r="C770" s="940"/>
      <c r="D770" s="663"/>
      <c r="E770" s="2436"/>
      <c r="F770" s="2436"/>
      <c r="G770" s="2436"/>
      <c r="H770" s="2436"/>
      <c r="I770" s="2436"/>
      <c r="J770" s="2436"/>
      <c r="K770" s="2436"/>
      <c r="L770" s="2436"/>
      <c r="M770" s="2436"/>
      <c r="N770" s="2436"/>
      <c r="O770" s="2436"/>
      <c r="P770" s="2436"/>
      <c r="Q770" s="2436"/>
      <c r="R770" s="2436"/>
      <c r="S770" s="2436"/>
      <c r="T770" s="2436"/>
      <c r="U770" s="2436"/>
      <c r="V770" s="2436"/>
      <c r="W770" s="2436"/>
      <c r="X770" s="2436"/>
      <c r="Y770" s="2436"/>
      <c r="Z770" s="2436"/>
      <c r="AA770" s="2436"/>
      <c r="AB770" s="2436"/>
      <c r="AC770" s="2436"/>
      <c r="AD770" s="243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36"/>
      <c r="F771" s="2436"/>
      <c r="G771" s="2436"/>
      <c r="H771" s="2436"/>
      <c r="I771" s="2436"/>
      <c r="J771" s="2436"/>
      <c r="K771" s="2436"/>
      <c r="L771" s="2436"/>
      <c r="M771" s="2436"/>
      <c r="N771" s="2436"/>
      <c r="O771" s="2436"/>
      <c r="P771" s="2436"/>
      <c r="Q771" s="2436"/>
      <c r="R771" s="2436"/>
      <c r="S771" s="2436"/>
      <c r="T771" s="2436"/>
      <c r="U771" s="2436"/>
      <c r="V771" s="2436"/>
      <c r="W771" s="2436"/>
      <c r="X771" s="2436"/>
      <c r="Y771" s="2436"/>
      <c r="Z771" s="2436"/>
      <c r="AA771" s="2436"/>
      <c r="AB771" s="2436"/>
      <c r="AC771" s="2436"/>
      <c r="AD771" s="243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6"/>
      <c r="F772" s="2436"/>
      <c r="G772" s="2436"/>
      <c r="H772" s="2436"/>
      <c r="I772" s="2436"/>
      <c r="J772" s="2436"/>
      <c r="K772" s="2436"/>
      <c r="L772" s="2436"/>
      <c r="M772" s="2436"/>
      <c r="N772" s="2436"/>
      <c r="O772" s="2436"/>
      <c r="P772" s="2436"/>
      <c r="Q772" s="2436"/>
      <c r="R772" s="2436"/>
      <c r="S772" s="2436"/>
      <c r="T772" s="2436"/>
      <c r="U772" s="2436"/>
      <c r="V772" s="2436"/>
      <c r="W772" s="2436"/>
      <c r="X772" s="2436"/>
      <c r="Y772" s="2436"/>
      <c r="Z772" s="2436"/>
      <c r="AA772" s="2436"/>
      <c r="AB772" s="2436"/>
      <c r="AC772" s="2436"/>
      <c r="AD772" s="243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7" t="s">
        <v>1698</v>
      </c>
      <c r="F774" s="2547"/>
      <c r="G774" s="2547"/>
      <c r="H774" s="2547"/>
      <c r="I774" s="2547"/>
      <c r="J774" s="2547"/>
      <c r="K774" s="2547"/>
      <c r="L774" s="2547"/>
      <c r="M774" s="2547"/>
      <c r="N774" s="2547"/>
      <c r="O774" s="2547"/>
      <c r="P774" s="2547"/>
      <c r="Q774" s="2547"/>
      <c r="R774" s="2547"/>
      <c r="S774" s="2547"/>
      <c r="T774" s="2547"/>
      <c r="U774" s="2547"/>
      <c r="V774" s="2547"/>
      <c r="W774" s="2547"/>
      <c r="X774" s="2547"/>
      <c r="Y774" s="2547"/>
      <c r="Z774" s="2547"/>
      <c r="AA774" s="2547"/>
      <c r="AB774" s="2547"/>
      <c r="AC774" s="2547"/>
      <c r="AD774" s="2547"/>
      <c r="AE774" s="536"/>
      <c r="AF774" s="2536" t="s">
        <v>1353</v>
      </c>
      <c r="AG774" s="2536"/>
      <c r="AH774" s="2536"/>
      <c r="AI774" s="2536"/>
      <c r="AJ774" s="2536"/>
      <c r="AK774" s="2536"/>
      <c r="AL774" s="2536"/>
      <c r="AM774" s="613"/>
      <c r="AN774" s="597"/>
    </row>
    <row r="775" spans="1:81" s="550" customFormat="1" ht="12.75" customHeight="1">
      <c r="B775" s="616"/>
      <c r="C775" s="940"/>
      <c r="D775" s="663"/>
      <c r="E775" s="2547"/>
      <c r="F775" s="2547"/>
      <c r="G775" s="2547"/>
      <c r="H775" s="2547"/>
      <c r="I775" s="2547"/>
      <c r="J775" s="2547"/>
      <c r="K775" s="2547"/>
      <c r="L775" s="2547"/>
      <c r="M775" s="2547"/>
      <c r="N775" s="2547"/>
      <c r="O775" s="2547"/>
      <c r="P775" s="2547"/>
      <c r="Q775" s="2547"/>
      <c r="R775" s="2547"/>
      <c r="S775" s="2547"/>
      <c r="T775" s="2547"/>
      <c r="U775" s="2547"/>
      <c r="V775" s="2547"/>
      <c r="W775" s="2547"/>
      <c r="X775" s="2547"/>
      <c r="Y775" s="2547"/>
      <c r="Z775" s="2547"/>
      <c r="AA775" s="2547"/>
      <c r="AB775" s="2547"/>
      <c r="AC775" s="2547"/>
      <c r="AD775" s="2547"/>
      <c r="AE775" s="594"/>
      <c r="AF775" s="594"/>
      <c r="AG775" s="594"/>
      <c r="AH775" s="594"/>
      <c r="AI775" s="594"/>
      <c r="AJ775" s="594"/>
      <c r="AK775" s="594"/>
      <c r="AL775" s="594"/>
      <c r="AM775" s="613"/>
      <c r="AN775" s="597"/>
    </row>
    <row r="776" spans="1:81" s="550" customFormat="1" ht="12.75" customHeight="1">
      <c r="B776" s="616"/>
      <c r="C776" s="940"/>
      <c r="D776" s="663"/>
      <c r="E776" s="2547"/>
      <c r="F776" s="2547"/>
      <c r="G776" s="2547"/>
      <c r="H776" s="2547"/>
      <c r="I776" s="2547"/>
      <c r="J776" s="2547"/>
      <c r="K776" s="2547"/>
      <c r="L776" s="2547"/>
      <c r="M776" s="2547"/>
      <c r="N776" s="2547"/>
      <c r="O776" s="2547"/>
      <c r="P776" s="2547"/>
      <c r="Q776" s="2547"/>
      <c r="R776" s="2547"/>
      <c r="S776" s="2547"/>
      <c r="T776" s="2547"/>
      <c r="U776" s="2547"/>
      <c r="V776" s="2547"/>
      <c r="W776" s="2547"/>
      <c r="X776" s="2547"/>
      <c r="Y776" s="2547"/>
      <c r="Z776" s="2547"/>
      <c r="AA776" s="2547"/>
      <c r="AB776" s="2547"/>
      <c r="AC776" s="2547"/>
      <c r="AD776" s="2547"/>
      <c r="AE776" s="594"/>
      <c r="AF776" s="594"/>
      <c r="AG776" s="594"/>
      <c r="AH776" s="594"/>
      <c r="AI776" s="594"/>
      <c r="AJ776" s="594"/>
      <c r="AK776" s="594"/>
      <c r="AL776" s="594"/>
      <c r="AM776" s="613"/>
      <c r="AN776" s="597"/>
    </row>
    <row r="777" spans="1:81" s="550" customFormat="1" ht="12.75" customHeight="1">
      <c r="B777" s="616"/>
      <c r="C777" s="940"/>
      <c r="D777" s="663"/>
      <c r="E777" s="2547"/>
      <c r="F777" s="2547"/>
      <c r="G777" s="2547"/>
      <c r="H777" s="2547"/>
      <c r="I777" s="2547"/>
      <c r="J777" s="2547"/>
      <c r="K777" s="2547"/>
      <c r="L777" s="2547"/>
      <c r="M777" s="2547"/>
      <c r="N777" s="2547"/>
      <c r="O777" s="2547"/>
      <c r="P777" s="2547"/>
      <c r="Q777" s="2547"/>
      <c r="R777" s="2547"/>
      <c r="S777" s="2547"/>
      <c r="T777" s="2547"/>
      <c r="U777" s="2547"/>
      <c r="V777" s="2547"/>
      <c r="W777" s="2547"/>
      <c r="X777" s="2547"/>
      <c r="Y777" s="2547"/>
      <c r="Z777" s="2547"/>
      <c r="AA777" s="2547"/>
      <c r="AB777" s="2547"/>
      <c r="AC777" s="2547"/>
      <c r="AD777" s="254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60" t="s">
        <v>592</v>
      </c>
      <c r="I779" s="246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43">
        <f>VLOOKUP($H$779,$AO$769:$AP$771,2,FALSE)</f>
        <v>0</v>
      </c>
      <c r="AK781" s="244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36" t="s">
        <v>2033</v>
      </c>
      <c r="F785" s="2436"/>
      <c r="G785" s="2436"/>
      <c r="H785" s="2436"/>
      <c r="I785" s="2436"/>
      <c r="J785" s="2436"/>
      <c r="K785" s="2436"/>
      <c r="L785" s="2436"/>
      <c r="M785" s="2436"/>
      <c r="N785" s="2436"/>
      <c r="O785" s="2436"/>
      <c r="P785" s="2436"/>
      <c r="Q785" s="2436"/>
      <c r="R785" s="2436"/>
      <c r="S785" s="2436"/>
      <c r="T785" s="2436"/>
      <c r="U785" s="2436"/>
      <c r="V785" s="2436"/>
      <c r="W785" s="2436"/>
      <c r="X785" s="2436"/>
      <c r="Y785" s="2436"/>
      <c r="Z785" s="2436"/>
      <c r="AA785" s="2436"/>
      <c r="AB785" s="2436"/>
      <c r="AC785" s="2436"/>
      <c r="AD785" s="2436"/>
      <c r="AE785" s="536"/>
      <c r="AF785" s="2536" t="s">
        <v>1353</v>
      </c>
      <c r="AG785" s="2536"/>
      <c r="AH785" s="2536"/>
      <c r="AI785" s="2536"/>
      <c r="AJ785" s="2536"/>
      <c r="AK785" s="2536"/>
      <c r="AL785" s="2536"/>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36"/>
      <c r="F786" s="2436"/>
      <c r="G786" s="2436"/>
      <c r="H786" s="2436"/>
      <c r="I786" s="2436"/>
      <c r="J786" s="2436"/>
      <c r="K786" s="2436"/>
      <c r="L786" s="2436"/>
      <c r="M786" s="2436"/>
      <c r="N786" s="2436"/>
      <c r="O786" s="2436"/>
      <c r="P786" s="2436"/>
      <c r="Q786" s="2436"/>
      <c r="R786" s="2436"/>
      <c r="S786" s="2436"/>
      <c r="T786" s="2436"/>
      <c r="U786" s="2436"/>
      <c r="V786" s="2436"/>
      <c r="W786" s="2436"/>
      <c r="X786" s="2436"/>
      <c r="Y786" s="2436"/>
      <c r="Z786" s="2436"/>
      <c r="AA786" s="2436"/>
      <c r="AB786" s="2436"/>
      <c r="AC786" s="2436"/>
      <c r="AD786" s="243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6"/>
      <c r="F787" s="2436"/>
      <c r="G787" s="2436"/>
      <c r="H787" s="2436"/>
      <c r="I787" s="2436"/>
      <c r="J787" s="2436"/>
      <c r="K787" s="2436"/>
      <c r="L787" s="2436"/>
      <c r="M787" s="2436"/>
      <c r="N787" s="2436"/>
      <c r="O787" s="2436"/>
      <c r="P787" s="2436"/>
      <c r="Q787" s="2436"/>
      <c r="R787" s="2436"/>
      <c r="S787" s="2436"/>
      <c r="T787" s="2436"/>
      <c r="U787" s="2436"/>
      <c r="V787" s="2436"/>
      <c r="W787" s="2436"/>
      <c r="X787" s="2436"/>
      <c r="Y787" s="2436"/>
      <c r="Z787" s="2436"/>
      <c r="AA787" s="2436"/>
      <c r="AB787" s="2436"/>
      <c r="AC787" s="2436"/>
      <c r="AD787" s="243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6"/>
      <c r="F788" s="2436"/>
      <c r="G788" s="2436"/>
      <c r="H788" s="2436"/>
      <c r="I788" s="2436"/>
      <c r="J788" s="2436"/>
      <c r="K788" s="2436"/>
      <c r="L788" s="2436"/>
      <c r="M788" s="2436"/>
      <c r="N788" s="2436"/>
      <c r="O788" s="2436"/>
      <c r="P788" s="2436"/>
      <c r="Q788" s="2436"/>
      <c r="R788" s="2436"/>
      <c r="S788" s="2436"/>
      <c r="T788" s="2436"/>
      <c r="U788" s="2436"/>
      <c r="V788" s="2436"/>
      <c r="W788" s="2436"/>
      <c r="X788" s="2436"/>
      <c r="Y788" s="2436"/>
      <c r="Z788" s="2436"/>
      <c r="AA788" s="2436"/>
      <c r="AB788" s="2436"/>
      <c r="AC788" s="2436"/>
      <c r="AD788" s="243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60" t="s">
        <v>592</v>
      </c>
      <c r="I790" s="246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43">
        <f>VLOOKUP($H$790,$AO$784:$AP$785,2,FALSE)</f>
        <v>0</v>
      </c>
      <c r="AK792" s="244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43">
        <f>IF(($AJ$621+$AJ$640+$AJ$652+$AJ$687+$AJ$711+$AJ$725+$AJ$737+$AJ$753+$AJ$765+$AJ$781+AJ792)&gt;10,10,($AJ$621+$AJ$640+$AJ$652+$AJ$687+$AJ$711+$AJ$725+$AJ$737+$AJ$753+$AJ$765+$AJ$781+AJ792))</f>
        <v>10</v>
      </c>
      <c r="AL794" s="2444"/>
      <c r="AM794" s="244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7" t="s">
        <v>1569</v>
      </c>
      <c r="B797" s="2528"/>
      <c r="C797" s="2528"/>
      <c r="D797" s="2528"/>
      <c r="E797" s="2528"/>
      <c r="F797" s="2528"/>
      <c r="G797" s="2528"/>
      <c r="H797" s="2528"/>
      <c r="I797" s="2528"/>
      <c r="J797" s="2528"/>
      <c r="K797" s="2528"/>
      <c r="L797" s="2528"/>
      <c r="M797" s="2528"/>
      <c r="N797" s="2528"/>
      <c r="O797" s="2528"/>
      <c r="P797" s="2528"/>
      <c r="Q797" s="2528"/>
      <c r="R797" s="2528"/>
      <c r="S797" s="2528"/>
      <c r="T797" s="2528"/>
      <c r="U797" s="2528"/>
      <c r="V797" s="2528"/>
      <c r="W797" s="2528"/>
      <c r="X797" s="2528"/>
      <c r="Y797" s="2528"/>
      <c r="Z797" s="2528"/>
      <c r="AA797" s="2528"/>
      <c r="AB797" s="2528"/>
      <c r="AC797" s="2528"/>
      <c r="AD797" s="2528"/>
      <c r="AE797" s="2528"/>
      <c r="AF797" s="2528"/>
      <c r="AG797" s="2528"/>
      <c r="AH797" s="2528"/>
      <c r="AI797" s="2528"/>
      <c r="AJ797" s="2528"/>
      <c r="AK797" s="2528"/>
      <c r="AL797" s="2528"/>
      <c r="AM797" s="2528"/>
    </row>
    <row r="798" spans="1:81">
      <c r="A798" s="2529"/>
      <c r="B798" s="2529"/>
      <c r="C798" s="2529"/>
      <c r="D798" s="2529"/>
      <c r="E798" s="2529"/>
      <c r="F798" s="2529"/>
      <c r="G798" s="2529"/>
      <c r="H798" s="2529"/>
      <c r="I798" s="2529"/>
      <c r="J798" s="2529"/>
      <c r="K798" s="2529"/>
      <c r="L798" s="2529"/>
      <c r="M798" s="2529"/>
      <c r="N798" s="2529"/>
      <c r="O798" s="2529"/>
      <c r="P798" s="2529"/>
      <c r="Q798" s="2529"/>
      <c r="R798" s="2529"/>
      <c r="S798" s="2529"/>
      <c r="T798" s="2529"/>
      <c r="U798" s="2529"/>
      <c r="V798" s="2529"/>
      <c r="W798" s="2529"/>
      <c r="X798" s="2529"/>
      <c r="Y798" s="2529"/>
      <c r="Z798" s="2529"/>
      <c r="AA798" s="2529"/>
      <c r="AB798" s="2529"/>
      <c r="AC798" s="2529"/>
      <c r="AD798" s="2529"/>
      <c r="AE798" s="2529"/>
      <c r="AF798" s="2529"/>
      <c r="AG798" s="2529"/>
      <c r="AH798" s="2529"/>
      <c r="AI798" s="2529"/>
      <c r="AJ798" s="2529"/>
      <c r="AK798" s="2529"/>
      <c r="AL798" s="2529"/>
      <c r="AM798" s="252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8"/>
      <c r="B800" s="2458"/>
      <c r="C800" s="2458"/>
      <c r="D800" s="2458"/>
      <c r="E800" s="2458"/>
      <c r="F800" s="2458"/>
      <c r="G800" s="2458"/>
      <c r="H800" s="2458"/>
      <c r="I800" s="2458"/>
      <c r="J800" s="2458"/>
      <c r="K800" s="2458"/>
      <c r="L800" s="2458"/>
      <c r="M800" s="2458"/>
      <c r="N800" s="2458"/>
      <c r="O800" s="2458"/>
      <c r="P800" s="2458"/>
      <c r="Q800" s="2458"/>
      <c r="R800" s="2458"/>
      <c r="S800" s="2458"/>
      <c r="T800" s="2458"/>
      <c r="U800" s="2458"/>
      <c r="V800" s="2458"/>
      <c r="W800" s="2458"/>
      <c r="X800" s="2458"/>
      <c r="Y800" s="2458"/>
      <c r="Z800" s="2458"/>
      <c r="AA800" s="2458"/>
      <c r="AB800" s="2458"/>
      <c r="AC800" s="2458"/>
      <c r="AD800" s="2458"/>
      <c r="AE800" s="2458"/>
      <c r="AF800" s="2458"/>
      <c r="AG800" s="2458"/>
      <c r="AH800" s="2458"/>
      <c r="AI800" s="2458"/>
      <c r="AJ800" s="2458"/>
      <c r="AK800" s="2458"/>
      <c r="AL800" s="2458"/>
      <c r="AM800" s="2458"/>
      <c r="AP800" s="816"/>
      <c r="AQ800" s="816"/>
    </row>
    <row r="801" spans="1:81">
      <c r="A801" s="2458"/>
      <c r="B801" s="2458"/>
      <c r="C801" s="2458"/>
      <c r="D801" s="2458"/>
      <c r="E801" s="2458"/>
      <c r="F801" s="2458"/>
      <c r="G801" s="2458"/>
      <c r="H801" s="2458"/>
      <c r="I801" s="2458"/>
      <c r="J801" s="2458"/>
      <c r="K801" s="2458"/>
      <c r="L801" s="2458"/>
      <c r="M801" s="2458"/>
      <c r="N801" s="2458"/>
      <c r="O801" s="2458"/>
      <c r="P801" s="2458"/>
      <c r="Q801" s="2458"/>
      <c r="R801" s="2458"/>
      <c r="S801" s="2458"/>
      <c r="T801" s="2458"/>
      <c r="U801" s="2458"/>
      <c r="V801" s="2458"/>
      <c r="W801" s="2458"/>
      <c r="X801" s="2458"/>
      <c r="Y801" s="2458"/>
      <c r="Z801" s="2458"/>
      <c r="AA801" s="2458"/>
      <c r="AB801" s="2458"/>
      <c r="AC801" s="2458"/>
      <c r="AD801" s="2458"/>
      <c r="AE801" s="2458"/>
      <c r="AF801" s="2458"/>
      <c r="AG801" s="2458"/>
      <c r="AH801" s="2458"/>
      <c r="AI801" s="2458"/>
      <c r="AJ801" s="2458"/>
      <c r="AK801" s="2458"/>
      <c r="AL801" s="2458"/>
      <c r="AM801" s="245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30" t="s">
        <v>1570</v>
      </c>
      <c r="U802" s="2531"/>
      <c r="V802" s="2531"/>
      <c r="W802" s="2531"/>
      <c r="X802" s="2531"/>
      <c r="Y802" s="2532"/>
      <c r="Z802" s="2530" t="s">
        <v>1571</v>
      </c>
      <c r="AA802" s="2531"/>
      <c r="AB802" s="2531"/>
      <c r="AC802" s="2531"/>
      <c r="AD802" s="2531"/>
      <c r="AE802" s="2532"/>
      <c r="AF802" s="2530" t="s">
        <v>1572</v>
      </c>
      <c r="AG802" s="2531"/>
      <c r="AH802" s="2531"/>
      <c r="AI802" s="2531"/>
      <c r="AJ802" s="2531"/>
      <c r="AK802" s="253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33"/>
      <c r="U803" s="2534"/>
      <c r="V803" s="2534"/>
      <c r="W803" s="2534"/>
      <c r="X803" s="2534"/>
      <c r="Y803" s="2535"/>
      <c r="Z803" s="2533"/>
      <c r="AA803" s="2534"/>
      <c r="AB803" s="2534"/>
      <c r="AC803" s="2534"/>
      <c r="AD803" s="2534"/>
      <c r="AE803" s="2535"/>
      <c r="AF803" s="2533"/>
      <c r="AG803" s="2534"/>
      <c r="AH803" s="2534"/>
      <c r="AI803" s="2534"/>
      <c r="AJ803" s="2534"/>
      <c r="AK803" s="2535"/>
      <c r="AL803" s="818"/>
      <c r="AM803" s="596"/>
      <c r="AO803" s="816"/>
      <c r="AP803" s="816"/>
      <c r="AQ803" s="816"/>
    </row>
    <row r="804" spans="1:81">
      <c r="A804" s="819" t="s">
        <v>758</v>
      </c>
      <c r="B804" s="2487" t="s">
        <v>1305</v>
      </c>
      <c r="C804" s="2487"/>
      <c r="D804" s="2487"/>
      <c r="E804" s="2487"/>
      <c r="F804" s="2487"/>
      <c r="G804" s="2487"/>
      <c r="H804" s="2487"/>
      <c r="I804" s="2487"/>
      <c r="J804" s="2487"/>
      <c r="K804" s="2487"/>
      <c r="L804" s="2487"/>
      <c r="M804" s="2487"/>
      <c r="N804" s="2487"/>
      <c r="O804" s="2487"/>
      <c r="P804" s="2487"/>
      <c r="Q804" s="2487"/>
      <c r="R804" s="2487"/>
      <c r="S804" s="2488"/>
      <c r="T804" s="2515">
        <f>AK62</f>
        <v>0</v>
      </c>
      <c r="U804" s="2491"/>
      <c r="V804" s="2491"/>
      <c r="W804" s="2491"/>
      <c r="X804" s="2491"/>
      <c r="Y804" s="2492"/>
      <c r="Z804" s="2490">
        <v>20</v>
      </c>
      <c r="AA804" s="2491"/>
      <c r="AB804" s="2491"/>
      <c r="AC804" s="2491"/>
      <c r="AD804" s="2491"/>
      <c r="AE804" s="2492"/>
      <c r="AF804" s="2455">
        <f>IF(T804&gt;Z804,Z804,T804)</f>
        <v>0</v>
      </c>
      <c r="AG804" s="2455"/>
      <c r="AH804" s="2455"/>
      <c r="AI804" s="2455"/>
      <c r="AJ804" s="2455"/>
      <c r="AK804" s="2455"/>
      <c r="AL804" s="818"/>
      <c r="AM804" s="596"/>
      <c r="AO804" s="816"/>
      <c r="AP804" s="816"/>
      <c r="AQ804" s="816"/>
    </row>
    <row r="805" spans="1:81">
      <c r="A805" s="819" t="s">
        <v>1542</v>
      </c>
      <c r="B805" s="2487" t="s">
        <v>1314</v>
      </c>
      <c r="C805" s="2487"/>
      <c r="D805" s="2487"/>
      <c r="E805" s="2487"/>
      <c r="F805" s="2487"/>
      <c r="G805" s="2487"/>
      <c r="H805" s="2487"/>
      <c r="I805" s="2487"/>
      <c r="J805" s="2487"/>
      <c r="K805" s="2487"/>
      <c r="L805" s="2487"/>
      <c r="M805" s="2487"/>
      <c r="N805" s="2487"/>
      <c r="O805" s="2487"/>
      <c r="P805" s="2487"/>
      <c r="Q805" s="2487"/>
      <c r="R805" s="2487"/>
      <c r="S805" s="2488"/>
      <c r="T805" s="2515">
        <f>AK84</f>
        <v>10</v>
      </c>
      <c r="U805" s="2491"/>
      <c r="V805" s="2491"/>
      <c r="W805" s="2491"/>
      <c r="X805" s="2491"/>
      <c r="Y805" s="2492"/>
      <c r="Z805" s="2490">
        <v>10</v>
      </c>
      <c r="AA805" s="2491"/>
      <c r="AB805" s="2491"/>
      <c r="AC805" s="2491"/>
      <c r="AD805" s="2491"/>
      <c r="AE805" s="2492"/>
      <c r="AF805" s="2455">
        <f>IF(T805&gt;Z805,Z805,T805)</f>
        <v>10</v>
      </c>
      <c r="AG805" s="2455"/>
      <c r="AH805" s="2455"/>
      <c r="AI805" s="2455"/>
      <c r="AJ805" s="2455"/>
      <c r="AK805" s="2455"/>
      <c r="AL805" s="818"/>
      <c r="AM805" s="596"/>
      <c r="AO805" s="816"/>
      <c r="AP805" s="816"/>
      <c r="AQ805" s="816"/>
    </row>
    <row r="806" spans="1:81">
      <c r="A806" s="819" t="s">
        <v>1551</v>
      </c>
      <c r="B806" s="2487" t="s">
        <v>1324</v>
      </c>
      <c r="C806" s="2487"/>
      <c r="D806" s="2487"/>
      <c r="E806" s="2487"/>
      <c r="F806" s="2487"/>
      <c r="G806" s="2487"/>
      <c r="H806" s="2487"/>
      <c r="I806" s="2487"/>
      <c r="J806" s="2487"/>
      <c r="K806" s="2487"/>
      <c r="L806" s="2487"/>
      <c r="M806" s="2487"/>
      <c r="N806" s="2487"/>
      <c r="O806" s="2487"/>
      <c r="P806" s="2487"/>
      <c r="Q806" s="2487"/>
      <c r="R806" s="2487"/>
      <c r="S806" s="2488"/>
      <c r="T806" s="2515">
        <f ca="1">AK109</f>
        <v>20</v>
      </c>
      <c r="U806" s="2491"/>
      <c r="V806" s="2491"/>
      <c r="W806" s="2491"/>
      <c r="X806" s="2491"/>
      <c r="Y806" s="2492"/>
      <c r="Z806" s="2490">
        <v>20</v>
      </c>
      <c r="AA806" s="2491"/>
      <c r="AB806" s="2491"/>
      <c r="AC806" s="2491"/>
      <c r="AD806" s="2491"/>
      <c r="AE806" s="2492"/>
      <c r="AF806" s="2455">
        <f ca="1">IF(T806&gt;Z806,Z806,T806)</f>
        <v>20</v>
      </c>
      <c r="AG806" s="2455"/>
      <c r="AH806" s="2455"/>
      <c r="AI806" s="2455"/>
      <c r="AJ806" s="2455"/>
      <c r="AK806" s="2455"/>
      <c r="AL806" s="818"/>
      <c r="AM806" s="596"/>
      <c r="AO806" s="816"/>
      <c r="AP806" s="816"/>
      <c r="AQ806" s="816"/>
    </row>
    <row r="807" spans="1:81">
      <c r="A807" s="819" t="s">
        <v>1573</v>
      </c>
      <c r="B807" s="2487" t="s">
        <v>1334</v>
      </c>
      <c r="C807" s="2487"/>
      <c r="D807" s="2487"/>
      <c r="E807" s="2487"/>
      <c r="F807" s="2487"/>
      <c r="G807" s="2487"/>
      <c r="H807" s="2487"/>
      <c r="I807" s="2487"/>
      <c r="J807" s="2487"/>
      <c r="K807" s="2487"/>
      <c r="L807" s="2487"/>
      <c r="M807" s="2487"/>
      <c r="N807" s="2487"/>
      <c r="O807" s="2487"/>
      <c r="P807" s="2487"/>
      <c r="Q807" s="2487"/>
      <c r="R807" s="2487"/>
      <c r="S807" s="2488"/>
      <c r="T807" s="2515">
        <f>AK143</f>
        <v>10</v>
      </c>
      <c r="U807" s="2491"/>
      <c r="V807" s="2491"/>
      <c r="W807" s="2491"/>
      <c r="X807" s="2491"/>
      <c r="Y807" s="2492"/>
      <c r="Z807" s="2490">
        <v>10</v>
      </c>
      <c r="AA807" s="2491"/>
      <c r="AB807" s="2491"/>
      <c r="AC807" s="2491"/>
      <c r="AD807" s="2491"/>
      <c r="AE807" s="2492"/>
      <c r="AF807" s="2455">
        <f>IF(T807&gt;Z807,Z807,T807)</f>
        <v>10</v>
      </c>
      <c r="AG807" s="2455"/>
      <c r="AH807" s="2455"/>
      <c r="AI807" s="2455"/>
      <c r="AJ807" s="2455"/>
      <c r="AK807" s="2455"/>
      <c r="AL807" s="818"/>
      <c r="AM807" s="596"/>
      <c r="AO807" s="816"/>
      <c r="AP807" s="816"/>
      <c r="AQ807" s="816"/>
    </row>
    <row r="808" spans="1:81">
      <c r="A808" s="820" t="s">
        <v>1574</v>
      </c>
      <c r="B808" s="2487" t="s">
        <v>1575</v>
      </c>
      <c r="C808" s="2487"/>
      <c r="D808" s="2487"/>
      <c r="E808" s="2487"/>
      <c r="F808" s="2487"/>
      <c r="G808" s="2487"/>
      <c r="H808" s="2487"/>
      <c r="I808" s="2487"/>
      <c r="J808" s="2487"/>
      <c r="K808" s="2487"/>
      <c r="L808" s="2487"/>
      <c r="M808" s="2487"/>
      <c r="N808" s="2487"/>
      <c r="O808" s="2487"/>
      <c r="P808" s="2487"/>
      <c r="Q808" s="2487"/>
      <c r="R808" s="2487"/>
      <c r="S808" s="2488"/>
      <c r="T808" s="2489">
        <f>SUM(T809:Y810)</f>
        <v>10</v>
      </c>
      <c r="U808" s="2489"/>
      <c r="V808" s="2489"/>
      <c r="W808" s="2489"/>
      <c r="X808" s="2489"/>
      <c r="Y808" s="2489"/>
      <c r="Z808" s="2455">
        <v>10</v>
      </c>
      <c r="AA808" s="2455"/>
      <c r="AB808" s="2455"/>
      <c r="AC808" s="2455"/>
      <c r="AD808" s="2455"/>
      <c r="AE808" s="2455"/>
      <c r="AF808" s="2455">
        <f>IF(T808&gt;Z808,Z808,T808)</f>
        <v>10</v>
      </c>
      <c r="AG808" s="2455"/>
      <c r="AH808" s="2455"/>
      <c r="AI808" s="2455"/>
      <c r="AJ808" s="2455"/>
      <c r="AK808" s="2455"/>
      <c r="AL808" s="818"/>
      <c r="AM808" s="596"/>
    </row>
    <row r="809" spans="1:81">
      <c r="A809" s="535"/>
      <c r="B809" s="601"/>
      <c r="C809" s="2493" t="s">
        <v>1576</v>
      </c>
      <c r="D809" s="2493"/>
      <c r="E809" s="2493"/>
      <c r="F809" s="2493"/>
      <c r="G809" s="2493"/>
      <c r="H809" s="2493"/>
      <c r="I809" s="2493"/>
      <c r="J809" s="2493"/>
      <c r="K809" s="2493"/>
      <c r="L809" s="2493"/>
      <c r="M809" s="2493"/>
      <c r="N809" s="2493"/>
      <c r="O809" s="2493"/>
      <c r="P809" s="2493"/>
      <c r="Q809" s="2493"/>
      <c r="R809" s="2493"/>
      <c r="S809" s="2494"/>
      <c r="T809" s="2495">
        <f>AJ166</f>
        <v>7</v>
      </c>
      <c r="U809" s="2495"/>
      <c r="V809" s="2495"/>
      <c r="W809" s="2495"/>
      <c r="X809" s="2495"/>
      <c r="Y809" s="2495"/>
      <c r="Z809" s="2496">
        <v>7</v>
      </c>
      <c r="AA809" s="2496"/>
      <c r="AB809" s="2496"/>
      <c r="AC809" s="2496"/>
      <c r="AD809" s="2496"/>
      <c r="AE809" s="2496"/>
      <c r="AF809" s="2497"/>
      <c r="AG809" s="2497"/>
      <c r="AH809" s="2497"/>
      <c r="AI809" s="2497"/>
      <c r="AJ809" s="2497"/>
      <c r="AK809" s="2497"/>
      <c r="AL809" s="818"/>
      <c r="AM809" s="596"/>
    </row>
    <row r="810" spans="1:81">
      <c r="A810" s="600"/>
      <c r="B810" s="601"/>
      <c r="C810" s="2493" t="s">
        <v>1577</v>
      </c>
      <c r="D810" s="2493"/>
      <c r="E810" s="2493"/>
      <c r="F810" s="2493"/>
      <c r="G810" s="2493"/>
      <c r="H810" s="2493"/>
      <c r="I810" s="2493"/>
      <c r="J810" s="2493"/>
      <c r="K810" s="2493"/>
      <c r="L810" s="2493"/>
      <c r="M810" s="2493"/>
      <c r="N810" s="2493"/>
      <c r="O810" s="2493"/>
      <c r="P810" s="2493"/>
      <c r="Q810" s="2493"/>
      <c r="R810" s="2493"/>
      <c r="S810" s="2494"/>
      <c r="T810" s="2495">
        <f>AJ180</f>
        <v>3</v>
      </c>
      <c r="U810" s="2495"/>
      <c r="V810" s="2495"/>
      <c r="W810" s="2495"/>
      <c r="X810" s="2495"/>
      <c r="Y810" s="2495"/>
      <c r="Z810" s="2496">
        <v>3</v>
      </c>
      <c r="AA810" s="2496"/>
      <c r="AB810" s="2496"/>
      <c r="AC810" s="2496"/>
      <c r="AD810" s="2496"/>
      <c r="AE810" s="2496"/>
      <c r="AF810" s="2497"/>
      <c r="AG810" s="2497"/>
      <c r="AH810" s="2497"/>
      <c r="AI810" s="2497"/>
      <c r="AJ810" s="2497"/>
      <c r="AK810" s="2497"/>
      <c r="AL810" s="818"/>
      <c r="AM810" s="596"/>
      <c r="AO810" s="550"/>
    </row>
    <row r="811" spans="1:81">
      <c r="A811" s="820" t="s">
        <v>1362</v>
      </c>
      <c r="B811" s="2487" t="s">
        <v>1578</v>
      </c>
      <c r="C811" s="2487"/>
      <c r="D811" s="2487"/>
      <c r="E811" s="2487"/>
      <c r="F811" s="2487"/>
      <c r="G811" s="2487"/>
      <c r="H811" s="2487"/>
      <c r="I811" s="2487"/>
      <c r="J811" s="2487"/>
      <c r="K811" s="2487"/>
      <c r="L811" s="2487"/>
      <c r="M811" s="2487"/>
      <c r="N811" s="2487"/>
      <c r="O811" s="2487"/>
      <c r="P811" s="2487"/>
      <c r="Q811" s="2487"/>
      <c r="R811" s="2487"/>
      <c r="S811" s="2488"/>
      <c r="T811" s="2489">
        <f>AK191</f>
        <v>10</v>
      </c>
      <c r="U811" s="2489"/>
      <c r="V811" s="2489"/>
      <c r="W811" s="2489"/>
      <c r="X811" s="2489"/>
      <c r="Y811" s="2489"/>
      <c r="Z811" s="2455">
        <v>10</v>
      </c>
      <c r="AA811" s="2455"/>
      <c r="AB811" s="2455"/>
      <c r="AC811" s="2455"/>
      <c r="AD811" s="2455"/>
      <c r="AE811" s="2455"/>
      <c r="AF811" s="2455">
        <f>IF(T811&gt;Z811,Z811,T811)</f>
        <v>10</v>
      </c>
      <c r="AG811" s="2455"/>
      <c r="AH811" s="2455"/>
      <c r="AI811" s="2455"/>
      <c r="AJ811" s="2455"/>
      <c r="AK811" s="2455"/>
      <c r="AL811" s="818"/>
      <c r="AM811" s="596"/>
    </row>
    <row r="812" spans="1:81">
      <c r="A812" s="819" t="s">
        <v>1371</v>
      </c>
      <c r="B812" s="2487" t="s">
        <v>1372</v>
      </c>
      <c r="C812" s="2487"/>
      <c r="D812" s="2487"/>
      <c r="E812" s="2487"/>
      <c r="F812" s="2487"/>
      <c r="G812" s="2487"/>
      <c r="H812" s="2487"/>
      <c r="I812" s="2487"/>
      <c r="J812" s="2487"/>
      <c r="K812" s="2487"/>
      <c r="L812" s="2487"/>
      <c r="M812" s="2487"/>
      <c r="N812" s="2487"/>
      <c r="O812" s="2487"/>
      <c r="P812" s="2487"/>
      <c r="Q812" s="2487"/>
      <c r="R812" s="2487"/>
      <c r="S812" s="2488"/>
      <c r="T812" s="2489">
        <f>AK273</f>
        <v>8</v>
      </c>
      <c r="U812" s="2489"/>
      <c r="V812" s="2489"/>
      <c r="W812" s="2489"/>
      <c r="X812" s="2489"/>
      <c r="Y812" s="2489"/>
      <c r="Z812" s="2490">
        <v>8</v>
      </c>
      <c r="AA812" s="2491"/>
      <c r="AB812" s="2491"/>
      <c r="AC812" s="2491"/>
      <c r="AD812" s="2491"/>
      <c r="AE812" s="2492"/>
      <c r="AF812" s="2455">
        <f>IF(T812&gt;Z812,Z812,T812)</f>
        <v>8</v>
      </c>
      <c r="AG812" s="2455"/>
      <c r="AH812" s="2455"/>
      <c r="AI812" s="2455"/>
      <c r="AJ812" s="2455"/>
      <c r="AK812" s="2455"/>
      <c r="AL812" s="818"/>
      <c r="AM812" s="596"/>
    </row>
    <row r="813" spans="1:81" s="534" customFormat="1" hidden="1">
      <c r="A813" s="820" t="s">
        <v>590</v>
      </c>
      <c r="B813" s="2487" t="s">
        <v>1579</v>
      </c>
      <c r="C813" s="2487"/>
      <c r="D813" s="2487"/>
      <c r="E813" s="2487"/>
      <c r="F813" s="2487"/>
      <c r="G813" s="2487"/>
      <c r="H813" s="2487"/>
      <c r="I813" s="2487"/>
      <c r="J813" s="2487"/>
      <c r="K813" s="2487"/>
      <c r="L813" s="2487"/>
      <c r="M813" s="2487"/>
      <c r="N813" s="2487"/>
      <c r="O813" s="2487"/>
      <c r="P813" s="2487"/>
      <c r="Q813" s="2487"/>
      <c r="R813" s="2487"/>
      <c r="S813" s="2488"/>
      <c r="T813" s="2489">
        <f>IF(AK535&gt;5,5,AK535)</f>
        <v>0</v>
      </c>
      <c r="U813" s="2489"/>
      <c r="V813" s="2489"/>
      <c r="W813" s="2489"/>
      <c r="X813" s="2489"/>
      <c r="Y813" s="2489"/>
      <c r="Z813" s="2455">
        <v>5</v>
      </c>
      <c r="AA813" s="2455"/>
      <c r="AB813" s="2455"/>
      <c r="AC813" s="2455"/>
      <c r="AD813" s="2455"/>
      <c r="AE813" s="2455"/>
      <c r="AF813" s="2455">
        <f>IF(T813&gt;Z813,5,T813)</f>
        <v>0</v>
      </c>
      <c r="AG813" s="2455"/>
      <c r="AH813" s="2455"/>
      <c r="AI813" s="2455"/>
      <c r="AJ813" s="2455"/>
      <c r="AK813" s="245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87" t="s">
        <v>1580</v>
      </c>
      <c r="C814" s="2487"/>
      <c r="D814" s="2487"/>
      <c r="E814" s="2487"/>
      <c r="F814" s="2487"/>
      <c r="G814" s="2487"/>
      <c r="H814" s="2487"/>
      <c r="I814" s="2487"/>
      <c r="J814" s="2487"/>
      <c r="K814" s="2487"/>
      <c r="L814" s="2487"/>
      <c r="M814" s="2487"/>
      <c r="N814" s="2487"/>
      <c r="O814" s="2487"/>
      <c r="P814" s="2487"/>
      <c r="Q814" s="2487"/>
      <c r="R814" s="2487"/>
      <c r="S814" s="2488"/>
      <c r="T814" s="2489">
        <f>AK285</f>
        <v>10</v>
      </c>
      <c r="U814" s="2489"/>
      <c r="V814" s="2489"/>
      <c r="W814" s="2489"/>
      <c r="X814" s="2489"/>
      <c r="Y814" s="2489"/>
      <c r="Z814" s="2455">
        <v>10</v>
      </c>
      <c r="AA814" s="2455"/>
      <c r="AB814" s="2455"/>
      <c r="AC814" s="2455"/>
      <c r="AD814" s="2455"/>
      <c r="AE814" s="2455"/>
      <c r="AF814" s="2498">
        <f>IF(T814&gt;Z814,Z814,T814)</f>
        <v>10</v>
      </c>
      <c r="AG814" s="2499"/>
      <c r="AH814" s="2499"/>
      <c r="AI814" s="2499"/>
      <c r="AJ814" s="2499"/>
      <c r="AK814" s="250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87" t="s">
        <v>1382</v>
      </c>
      <c r="C815" s="2487"/>
      <c r="D815" s="2487"/>
      <c r="E815" s="2487"/>
      <c r="F815" s="2487"/>
      <c r="G815" s="2487"/>
      <c r="H815" s="2487"/>
      <c r="I815" s="2487"/>
      <c r="J815" s="2487"/>
      <c r="K815" s="2487"/>
      <c r="L815" s="2487"/>
      <c r="M815" s="2487"/>
      <c r="N815" s="2487"/>
      <c r="O815" s="2487"/>
      <c r="P815" s="2487"/>
      <c r="Q815" s="2487"/>
      <c r="R815" s="2487"/>
      <c r="S815" s="2488"/>
      <c r="T815" s="2489">
        <f>AK338</f>
        <v>9</v>
      </c>
      <c r="U815" s="2489"/>
      <c r="V815" s="2489"/>
      <c r="W815" s="2489"/>
      <c r="X815" s="2489"/>
      <c r="Y815" s="2489"/>
      <c r="Z815" s="2498">
        <v>10</v>
      </c>
      <c r="AA815" s="2499"/>
      <c r="AB815" s="2499"/>
      <c r="AC815" s="2499"/>
      <c r="AD815" s="2499"/>
      <c r="AE815" s="2500"/>
      <c r="AF815" s="2498">
        <f>IF(T815&gt;Z815,Z815,T815)</f>
        <v>9</v>
      </c>
      <c r="AG815" s="2499"/>
      <c r="AH815" s="2499"/>
      <c r="AI815" s="2499"/>
      <c r="AJ815" s="2499"/>
      <c r="AK815" s="250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95">
        <f>AK338</f>
        <v>9</v>
      </c>
      <c r="U816" s="2495"/>
      <c r="V816" s="2495"/>
      <c r="W816" s="2495"/>
      <c r="X816" s="2495"/>
      <c r="Y816" s="2495"/>
      <c r="Z816" s="2443">
        <v>20</v>
      </c>
      <c r="AA816" s="2444"/>
      <c r="AB816" s="2444"/>
      <c r="AC816" s="2444"/>
      <c r="AD816" s="2444"/>
      <c r="AE816" s="2445"/>
      <c r="AF816" s="2497"/>
      <c r="AG816" s="2497"/>
      <c r="AH816" s="2497"/>
      <c r="AI816" s="2497"/>
      <c r="AJ816" s="2497"/>
      <c r="AK816" s="249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87" t="s">
        <v>846</v>
      </c>
      <c r="C817" s="2487"/>
      <c r="D817" s="2487"/>
      <c r="E817" s="2487"/>
      <c r="F817" s="2487"/>
      <c r="G817" s="2487"/>
      <c r="H817" s="2487"/>
      <c r="I817" s="2487"/>
      <c r="J817" s="2487"/>
      <c r="K817" s="2487"/>
      <c r="L817" s="2487"/>
      <c r="M817" s="2487"/>
      <c r="N817" s="2487"/>
      <c r="O817" s="2487"/>
      <c r="P817" s="2487"/>
      <c r="Q817" s="2487"/>
      <c r="R817" s="2487"/>
      <c r="S817" s="2488"/>
      <c r="T817" s="2489">
        <f>AK469</f>
        <v>10</v>
      </c>
      <c r="U817" s="2489"/>
      <c r="V817" s="2489"/>
      <c r="W817" s="2489"/>
      <c r="X817" s="2489"/>
      <c r="Y817" s="2489"/>
      <c r="Z817" s="2498">
        <v>10</v>
      </c>
      <c r="AA817" s="2499"/>
      <c r="AB817" s="2499"/>
      <c r="AC817" s="2499"/>
      <c r="AD817" s="2499"/>
      <c r="AE817" s="2500"/>
      <c r="AF817" s="2455">
        <f>IF(T817&gt;Z817,Z817,T817)</f>
        <v>10</v>
      </c>
      <c r="AG817" s="2455"/>
      <c r="AH817" s="2455"/>
      <c r="AI817" s="2455"/>
      <c r="AJ817" s="2455"/>
      <c r="AK817" s="245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87" t="s">
        <v>1560</v>
      </c>
      <c r="C818" s="2487"/>
      <c r="D818" s="2487"/>
      <c r="E818" s="2487"/>
      <c r="F818" s="2487"/>
      <c r="G818" s="2487"/>
      <c r="H818" s="2487"/>
      <c r="I818" s="2487"/>
      <c r="J818" s="2487"/>
      <c r="K818" s="2487"/>
      <c r="L818" s="2487"/>
      <c r="M818" s="2487"/>
      <c r="N818" s="2487"/>
      <c r="O818" s="2487"/>
      <c r="P818" s="2487"/>
      <c r="Q818" s="2487"/>
      <c r="R818" s="2487"/>
      <c r="S818" s="2488"/>
      <c r="T818" s="2489">
        <f>AK559</f>
        <v>12</v>
      </c>
      <c r="U818" s="2489"/>
      <c r="V818" s="2489"/>
      <c r="W818" s="2489"/>
      <c r="X818" s="2489"/>
      <c r="Y818" s="2489"/>
      <c r="Z818" s="2498">
        <v>12</v>
      </c>
      <c r="AA818" s="2499"/>
      <c r="AB818" s="2499"/>
      <c r="AC818" s="2499"/>
      <c r="AD818" s="2499"/>
      <c r="AE818" s="2500"/>
      <c r="AF818" s="2455">
        <f>IF(T818&gt;Z818,Z818,T818)</f>
        <v>12</v>
      </c>
      <c r="AG818" s="2455"/>
      <c r="AH818" s="2455"/>
      <c r="AI818" s="2455"/>
      <c r="AJ818" s="2455"/>
      <c r="AK818" s="245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87" t="s">
        <v>1582</v>
      </c>
      <c r="C819" s="2487"/>
      <c r="D819" s="2487"/>
      <c r="E819" s="2487"/>
      <c r="F819" s="2487"/>
      <c r="G819" s="2487"/>
      <c r="H819" s="2487"/>
      <c r="I819" s="2487"/>
      <c r="J819" s="2487"/>
      <c r="K819" s="2487"/>
      <c r="L819" s="2487"/>
      <c r="M819" s="2487"/>
      <c r="N819" s="2487"/>
      <c r="O819" s="2487"/>
      <c r="P819" s="2487"/>
      <c r="Q819" s="2487"/>
      <c r="R819" s="2487"/>
      <c r="S819" s="2488"/>
      <c r="T819" s="2489">
        <f>AK794</f>
        <v>10</v>
      </c>
      <c r="U819" s="2489"/>
      <c r="V819" s="2489"/>
      <c r="W819" s="2489"/>
      <c r="X819" s="2489"/>
      <c r="Y819" s="2489"/>
      <c r="Z819" s="2498">
        <v>10</v>
      </c>
      <c r="AA819" s="2499"/>
      <c r="AB819" s="2499"/>
      <c r="AC819" s="2499"/>
      <c r="AD819" s="2499"/>
      <c r="AE819" s="2500"/>
      <c r="AF819" s="2455">
        <f>IF(T819&gt;Z819,Z819,T819)</f>
        <v>10</v>
      </c>
      <c r="AG819" s="2455"/>
      <c r="AH819" s="2455"/>
      <c r="AI819" s="2455"/>
      <c r="AJ819" s="2455"/>
      <c r="AK819" s="245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01" t="s">
        <v>1583</v>
      </c>
      <c r="B820" s="2487"/>
      <c r="C820" s="2487"/>
      <c r="D820" s="2487"/>
      <c r="E820" s="2487"/>
      <c r="F820" s="2487"/>
      <c r="G820" s="2487"/>
      <c r="H820" s="2487"/>
      <c r="I820" s="2487"/>
      <c r="J820" s="2487"/>
      <c r="K820" s="2487"/>
      <c r="L820" s="2487"/>
      <c r="M820" s="2487"/>
      <c r="N820" s="2487"/>
      <c r="O820" s="2487"/>
      <c r="P820" s="2487"/>
      <c r="Q820" s="2487"/>
      <c r="R820" s="2487"/>
      <c r="S820" s="2488"/>
      <c r="T820" s="2502"/>
      <c r="U820" s="2502"/>
      <c r="V820" s="2502"/>
      <c r="W820" s="2502"/>
      <c r="X820" s="2502"/>
      <c r="Y820" s="2502"/>
      <c r="Z820" s="2496" t="s">
        <v>1584</v>
      </c>
      <c r="AA820" s="2496"/>
      <c r="AB820" s="2496"/>
      <c r="AC820" s="2496"/>
      <c r="AD820" s="2496"/>
      <c r="AE820" s="2496"/>
      <c r="AF820" s="2498">
        <f>IF(T820&gt;0,T820,0)</f>
        <v>0</v>
      </c>
      <c r="AG820" s="2499"/>
      <c r="AH820" s="2499"/>
      <c r="AI820" s="2499"/>
      <c r="AJ820" s="2499"/>
      <c r="AK820" s="250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03" t="s">
        <v>1585</v>
      </c>
      <c r="B821" s="2504"/>
      <c r="C821" s="2504"/>
      <c r="D821" s="2504"/>
      <c r="E821" s="2504"/>
      <c r="F821" s="2504"/>
      <c r="G821" s="2504"/>
      <c r="H821" s="2504"/>
      <c r="I821" s="2504"/>
      <c r="J821" s="2504"/>
      <c r="K821" s="2504"/>
      <c r="L821" s="2504"/>
      <c r="M821" s="2504"/>
      <c r="N821" s="2504"/>
      <c r="O821" s="2504"/>
      <c r="P821" s="2504"/>
      <c r="Q821" s="2504"/>
      <c r="R821" s="2504"/>
      <c r="S821" s="2504"/>
      <c r="T821" s="2504"/>
      <c r="U821" s="2504"/>
      <c r="V821" s="2504"/>
      <c r="W821" s="2504"/>
      <c r="X821" s="2504"/>
      <c r="Y821" s="2504"/>
      <c r="Z821" s="2504"/>
      <c r="AA821" s="2504"/>
      <c r="AB821" s="2504"/>
      <c r="AC821" s="2504"/>
      <c r="AD821" s="2504"/>
      <c r="AE821" s="2505"/>
      <c r="AF821" s="2509">
        <f ca="1">SUM(AF804:AK819)-AF820</f>
        <v>119</v>
      </c>
      <c r="AG821" s="2510"/>
      <c r="AH821" s="2510"/>
      <c r="AI821" s="2510"/>
      <c r="AJ821" s="2510"/>
      <c r="AK821" s="251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06"/>
      <c r="B822" s="2507"/>
      <c r="C822" s="2507"/>
      <c r="D822" s="2507"/>
      <c r="E822" s="2507"/>
      <c r="F822" s="2507"/>
      <c r="G822" s="2507"/>
      <c r="H822" s="2507"/>
      <c r="I822" s="2507"/>
      <c r="J822" s="2507"/>
      <c r="K822" s="2507"/>
      <c r="L822" s="2507"/>
      <c r="M822" s="2507"/>
      <c r="N822" s="2507"/>
      <c r="O822" s="2507"/>
      <c r="P822" s="2507"/>
      <c r="Q822" s="2507"/>
      <c r="R822" s="2507"/>
      <c r="S822" s="2507"/>
      <c r="T822" s="2507"/>
      <c r="U822" s="2507"/>
      <c r="V822" s="2507"/>
      <c r="W822" s="2507"/>
      <c r="X822" s="2507"/>
      <c r="Y822" s="2507"/>
      <c r="Z822" s="2507"/>
      <c r="AA822" s="2507"/>
      <c r="AB822" s="2507"/>
      <c r="AC822" s="2507"/>
      <c r="AD822" s="2507"/>
      <c r="AE822" s="2508"/>
      <c r="AF822" s="2512"/>
      <c r="AG822" s="2513"/>
      <c r="AH822" s="2513"/>
      <c r="AI822" s="2513"/>
      <c r="AJ822" s="2513"/>
      <c r="AK822" s="251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15 Year Pro Forma</vt:lpstr>
      <vt:lpstr>Subsidy Contract Calculation</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2025-09-08T18:02:28Z</cp:lastPrinted>
  <dcterms:created xsi:type="dcterms:W3CDTF">2007-12-27T18:26:28Z</dcterms:created>
  <dcterms:modified xsi:type="dcterms:W3CDTF">2025-09-08T18:39:41Z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35a3d9-79c5-4555-8c64-c99c79bce27d_Enabled">
    <vt:lpwstr>true</vt:lpwstr>
  </property>
  <property fmtid="{D5CDD505-2E9C-101B-9397-08002B2CF9AE}" pid="3" name="MSIP_Label_7935a3d9-79c5-4555-8c64-c99c79bce27d_SetDate">
    <vt:lpwstr>2025-08-15T17:37:17Z</vt:lpwstr>
  </property>
  <property fmtid="{D5CDD505-2E9C-101B-9397-08002B2CF9AE}" pid="4" name="MSIP_Label_7935a3d9-79c5-4555-8c64-c99c79bce27d_Method">
    <vt:lpwstr>Privileged</vt:lpwstr>
  </property>
  <property fmtid="{D5CDD505-2E9C-101B-9397-08002B2CF9AE}" pid="5" name="MSIP_Label_7935a3d9-79c5-4555-8c64-c99c79bce27d_Name">
    <vt:lpwstr>defa4170-0d19-0005-0001-bc88714345d2</vt:lpwstr>
  </property>
  <property fmtid="{D5CDD505-2E9C-101B-9397-08002B2CF9AE}" pid="6" name="MSIP_Label_7935a3d9-79c5-4555-8c64-c99c79bce27d_SiteId">
    <vt:lpwstr>9866d379-860f-4d99-883c-b43b01844cfd</vt:lpwstr>
  </property>
  <property fmtid="{D5CDD505-2E9C-101B-9397-08002B2CF9AE}" pid="7" name="MSIP_Label_7935a3d9-79c5-4555-8c64-c99c79bce27d_ActionId">
    <vt:lpwstr>854272bc-cfb4-422d-8b35-11b241d1b07e</vt:lpwstr>
  </property>
  <property fmtid="{D5CDD505-2E9C-101B-9397-08002B2CF9AE}" pid="8" name="MSIP_Label_7935a3d9-79c5-4555-8c64-c99c79bce27d_ContentBits">
    <vt:lpwstr>0</vt:lpwstr>
  </property>
  <property fmtid="{D5CDD505-2E9C-101B-9397-08002B2CF9AE}" pid="9" name="MSIP_Label_7935a3d9-79c5-4555-8c64-c99c79bce27d_Tag">
    <vt:lpwstr>10, 0, 1, 1</vt:lpwstr>
  </property>
</Properties>
</file>