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S:\Accepted\2025\03 November 19, 2025\25-769 Baumgardner Ranch Homes\"/>
    </mc:Choice>
  </mc:AlternateContent>
  <xr:revisionPtr revIDLastSave="0" documentId="13_ncr:1_{6F04F486-08AF-4B69-A613-948F02BA0BBB}" xr6:coauthVersionLast="47" xr6:coauthVersionMax="47" xr10:uidLastSave="{00000000-0000-0000-0000-000000000000}"/>
  <bookViews>
    <workbookView xWindow="-120" yWindow="-120" windowWidth="29040" windowHeight="1584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581" i="3" l="1"/>
  <c r="Z580" i="3"/>
  <c r="Z579" i="3"/>
  <c r="Z578" i="3"/>
  <c r="Q628" i="3"/>
  <c r="Z816" i="3" l="1"/>
  <c r="E99" i="4"/>
  <c r="G99" i="4" s="1"/>
  <c r="W865" i="3"/>
  <c r="W863" i="3"/>
  <c r="T719" i="3"/>
  <c r="T720" i="3" s="1"/>
  <c r="T721" i="3" s="1"/>
  <c r="G24" i="7" l="1"/>
  <c r="I24" i="7" s="1"/>
  <c r="K24" i="7" s="1"/>
  <c r="M24" i="7" s="1"/>
  <c r="O24" i="7" s="1"/>
  <c r="Q24" i="7" s="1"/>
  <c r="S24" i="7" s="1"/>
  <c r="U24" i="7" s="1"/>
  <c r="W24" i="7" s="1"/>
  <c r="Y24" i="7" s="1"/>
  <c r="AA24" i="7" s="1"/>
  <c r="AC24" i="7" s="1"/>
  <c r="AE24" i="7" s="1"/>
  <c r="AG24" i="7" s="1"/>
  <c r="AA947" i="3"/>
  <c r="AA919" i="3"/>
  <c r="AA918" i="3"/>
  <c r="AC889" i="3"/>
  <c r="AC886" i="3"/>
  <c r="M248" i="3"/>
  <c r="M247" i="3"/>
  <c r="M246" i="3"/>
  <c r="AC245" i="3"/>
  <c r="W245" i="3"/>
  <c r="M245" i="3"/>
  <c r="M244" i="3"/>
  <c r="C46" i="4"/>
  <c r="C45" i="4"/>
  <c r="W555" i="3"/>
  <c r="W556" i="3" s="1"/>
  <c r="T627" i="3"/>
  <c r="Q627" i="3"/>
  <c r="AG442" i="3" l="1"/>
  <c r="AG443" i="3" s="1"/>
  <c r="S45" i="4"/>
  <c r="E85" i="4"/>
  <c r="E86" i="4"/>
  <c r="E87" i="4"/>
  <c r="E88" i="4"/>
  <c r="E89" i="4"/>
  <c r="E90" i="4"/>
  <c r="E91" i="4"/>
  <c r="E92" i="4"/>
  <c r="E93" i="4"/>
  <c r="E83" i="4"/>
  <c r="E80" i="4"/>
  <c r="E79" i="4"/>
  <c r="E75" i="4"/>
  <c r="E58" i="4"/>
  <c r="E49" i="4"/>
  <c r="E50" i="4"/>
  <c r="E52" i="4"/>
  <c r="E40" i="4"/>
  <c r="E32" i="4"/>
  <c r="E31" i="4"/>
  <c r="E29" i="4"/>
  <c r="E7" i="4"/>
  <c r="C84" i="4"/>
  <c r="E84" i="4" s="1"/>
  <c r="C65" i="4"/>
  <c r="E65" i="4" s="1"/>
  <c r="E46" i="4"/>
  <c r="E45" i="4"/>
  <c r="C43" i="4" l="1"/>
  <c r="E43" i="4" s="1"/>
  <c r="C30" i="4"/>
  <c r="E30" i="4" s="1"/>
  <c r="C33" i="4"/>
  <c r="E33" i="4" s="1"/>
  <c r="W867" i="3" l="1"/>
  <c r="W846" i="3"/>
  <c r="W866" i="3"/>
  <c r="W854" i="3"/>
  <c r="W868" i="3"/>
  <c r="W869" i="3"/>
  <c r="K719" i="3"/>
  <c r="K720" i="3" s="1"/>
  <c r="K721" i="3" s="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U45" i="21"/>
  <c r="S45" i="21"/>
  <c r="S47" i="21"/>
  <c r="R53" i="21" a="1"/>
  <c r="R53" i="21" s="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S80" i="4"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9" i="13"/>
  <c r="E87" i="13"/>
  <c r="E65" i="13"/>
  <c r="E53" i="13"/>
  <c r="E51" i="13"/>
  <c r="E49" i="13"/>
  <c r="E48" i="13"/>
  <c r="E47" i="13"/>
  <c r="E45" i="13"/>
  <c r="E41" i="13"/>
  <c r="E37" i="13"/>
  <c r="E3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S93" i="4" s="1"/>
  <c r="E93" i="13" s="1"/>
  <c r="R92" i="4"/>
  <c r="S92" i="4" s="1"/>
  <c r="E92" i="13" s="1"/>
  <c r="R90" i="4"/>
  <c r="S90" i="4" s="1"/>
  <c r="E90" i="13" s="1"/>
  <c r="R89" i="4"/>
  <c r="R88" i="4"/>
  <c r="R87" i="4"/>
  <c r="R86" i="4"/>
  <c r="S86" i="4" s="1"/>
  <c r="R85" i="4"/>
  <c r="S85" i="4" s="1"/>
  <c r="E85" i="13" s="1"/>
  <c r="R83" i="4"/>
  <c r="R76" i="4"/>
  <c r="R75" i="4"/>
  <c r="R72" i="4"/>
  <c r="R73" i="4"/>
  <c r="R74" i="4"/>
  <c r="R69" i="4"/>
  <c r="R65" i="4"/>
  <c r="R61" i="4"/>
  <c r="R60" i="4"/>
  <c r="R59" i="4"/>
  <c r="R58" i="4"/>
  <c r="R57" i="4"/>
  <c r="R56" i="4"/>
  <c r="R53" i="4"/>
  <c r="R52" i="4"/>
  <c r="S52" i="4" s="1"/>
  <c r="E52" i="13" s="1"/>
  <c r="R51" i="4"/>
  <c r="R50" i="4"/>
  <c r="S50" i="4" s="1"/>
  <c r="E50" i="13" s="1"/>
  <c r="R49" i="4"/>
  <c r="R48" i="4"/>
  <c r="R47" i="4"/>
  <c r="R46" i="4"/>
  <c r="S46" i="4" s="1"/>
  <c r="R45" i="4"/>
  <c r="R43" i="4"/>
  <c r="S43" i="4" s="1"/>
  <c r="E43" i="13" s="1"/>
  <c r="R41" i="4"/>
  <c r="R40" i="4"/>
  <c r="S40" i="4" s="1"/>
  <c r="E40" i="13" s="1"/>
  <c r="R37" i="4"/>
  <c r="R35" i="4"/>
  <c r="R34" i="4"/>
  <c r="R33" i="4"/>
  <c r="S33" i="4" s="1"/>
  <c r="E33" i="13" s="1"/>
  <c r="R32" i="4"/>
  <c r="S32" i="4" s="1"/>
  <c r="E32" i="13" s="1"/>
  <c r="R31" i="4"/>
  <c r="S31" i="4" s="1"/>
  <c r="E31" i="13" s="1"/>
  <c r="R30" i="4"/>
  <c r="S30" i="4"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B26" i="4" l="1"/>
  <c r="S104" i="4"/>
  <c r="BA1058" i="3" s="1"/>
  <c r="S38" i="4"/>
  <c r="E38" i="13" s="1"/>
  <c r="S42" i="4"/>
  <c r="E42" i="13" s="1"/>
  <c r="S81" i="4"/>
  <c r="E81" i="13" s="1"/>
  <c r="S96" i="4"/>
  <c r="E96" i="13" s="1"/>
  <c r="S54" i="4"/>
  <c r="E54" i="13" s="1"/>
  <c r="E86" i="13"/>
  <c r="E30" i="13"/>
  <c r="E80" i="13"/>
  <c r="E46"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E29" i="21"/>
  <c r="G24" i="21"/>
  <c r="O23" i="21" l="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55" i="3"/>
  <c r="O756" i="3" s="1"/>
  <c r="BG753" i="3"/>
  <c r="BU753" i="3"/>
  <c r="AH753" i="3" s="1"/>
  <c r="BE43" i="3" s="1"/>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W849" i="3" s="1"/>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F27" i="21"/>
  <c r="G61" i="21"/>
  <c r="G63" i="21" s="1"/>
  <c r="G65" i="21" s="1"/>
  <c r="E13" i="21" s="1"/>
  <c r="F28" i="21"/>
  <c r="G28" i="21" s="1"/>
  <c r="G52" i="21"/>
  <c r="G54" i="21" s="1"/>
  <c r="G56" i="21" s="1"/>
  <c r="E12" i="21" s="1"/>
  <c r="E16" i="7" l="1"/>
  <c r="AC883" i="3"/>
  <c r="AC885" i="3" s="1"/>
  <c r="AB266" i="20"/>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G45" i="21"/>
  <c r="G47" i="21" s="1"/>
  <c r="E10" i="21" s="1"/>
  <c r="E11" i="21"/>
  <c r="Y26" i="15"/>
  <c r="Y28" i="15" s="1"/>
  <c r="AP705" i="20"/>
  <c r="AP706" i="20"/>
  <c r="I4" i="7"/>
  <c r="I5" i="7" s="1"/>
  <c r="K9" i="7"/>
  <c r="E11" i="7"/>
  <c r="AJ992" i="3"/>
  <c r="E138" i="20"/>
  <c r="E139" i="20" s="1"/>
  <c r="AK143" i="20" s="1"/>
  <c r="T807" i="20" s="1"/>
  <c r="AF807" i="20" s="1"/>
  <c r="BE74" i="3" s="1"/>
  <c r="AB991" i="3"/>
  <c r="DU802" i="3"/>
  <c r="U373" i="20" s="1"/>
  <c r="P421" i="3"/>
  <c r="I6" i="7"/>
  <c r="G7" i="7"/>
  <c r="G11" i="7" s="1"/>
  <c r="O15" i="7"/>
  <c r="M9" i="7"/>
  <c r="O8" i="7"/>
  <c r="G27" i="21"/>
  <c r="F26" i="21"/>
  <c r="AC456" i="3" l="1"/>
  <c r="G16" i="7"/>
  <c r="E22" i="7"/>
  <c r="E35" i="7" s="1"/>
  <c r="E37" i="7" s="1"/>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K6" i="7"/>
  <c r="I7" i="7"/>
  <c r="I11" i="7" s="1"/>
  <c r="G26" i="21"/>
  <c r="F29" i="21"/>
  <c r="G29" i="21"/>
  <c r="Q15" i="7"/>
  <c r="O9" i="7"/>
  <c r="Q8" i="7"/>
  <c r="E49" i="7" l="1"/>
  <c r="E45" i="7"/>
  <c r="E48" i="7" s="1"/>
  <c r="I16" i="7"/>
  <c r="G22" i="7"/>
  <c r="G35" i="7" s="1"/>
  <c r="G37" i="7" s="1"/>
  <c r="Y64" i="15"/>
  <c r="Y68" i="15" s="1"/>
  <c r="Y69" i="15" s="1"/>
  <c r="U58" i="7"/>
  <c r="W53" i="7"/>
  <c r="AJ1053" i="3"/>
  <c r="AA1057" i="3" s="1"/>
  <c r="G1058" i="3" s="1"/>
  <c r="AP552" i="20"/>
  <c r="AP554" i="20" s="1"/>
  <c r="K5" i="7"/>
  <c r="O4" i="7"/>
  <c r="M5" i="7"/>
  <c r="M6" i="7"/>
  <c r="K7" i="7"/>
  <c r="S15" i="7"/>
  <c r="G79" i="21"/>
  <c r="G31" i="21"/>
  <c r="G33" i="21" s="1"/>
  <c r="E9" i="21" s="1"/>
  <c r="G88" i="21"/>
  <c r="G90" i="21" s="1"/>
  <c r="E16" i="21" s="1"/>
  <c r="G111" i="21"/>
  <c r="G96" i="21"/>
  <c r="Q9" i="7"/>
  <c r="S8" i="7"/>
  <c r="E60" i="7" l="1"/>
  <c r="E62" i="7" s="1"/>
  <c r="E47" i="7"/>
  <c r="K16" i="7"/>
  <c r="I22" i="7"/>
  <c r="I35" i="7" s="1"/>
  <c r="I37" i="7" s="1"/>
  <c r="G45" i="7"/>
  <c r="G49" i="7"/>
  <c r="G80" i="21"/>
  <c r="E15" i="21" s="1"/>
  <c r="W58" i="7"/>
  <c r="Y53" i="7"/>
  <c r="T24" i="15"/>
  <c r="Y38" i="15" s="1"/>
  <c r="Y40" i="15" s="1"/>
  <c r="AP557" i="20"/>
  <c r="AP556" i="20" s="1"/>
  <c r="AP559" i="20" s="1"/>
  <c r="AF552" i="20" s="1"/>
  <c r="AF553" i="20" s="1"/>
  <c r="AK559" i="20" s="1"/>
  <c r="T818" i="20" s="1"/>
  <c r="AF818" i="20" s="1"/>
  <c r="BE81" i="3" s="1"/>
  <c r="K11" i="7"/>
  <c r="O5" i="7"/>
  <c r="Q4" i="7"/>
  <c r="M7" i="7"/>
  <c r="M11" i="7" s="1"/>
  <c r="O6" i="7"/>
  <c r="G101" i="21"/>
  <c r="G113" i="21"/>
  <c r="G97" i="21"/>
  <c r="U15" i="7"/>
  <c r="U8" i="7"/>
  <c r="S9" i="7"/>
  <c r="E67" i="7" l="1"/>
  <c r="E66" i="7"/>
  <c r="G60" i="7"/>
  <c r="G47" i="7"/>
  <c r="G48" i="7"/>
  <c r="I49" i="7"/>
  <c r="I45" i="7"/>
  <c r="M16" i="7"/>
  <c r="K22" i="7"/>
  <c r="K35" i="7" s="1"/>
  <c r="K37" i="7" s="1"/>
  <c r="AA53" i="7"/>
  <c r="Y58" i="7"/>
  <c r="AD38" i="15"/>
  <c r="AD40" i="15" s="1"/>
  <c r="Y41" i="15" s="1"/>
  <c r="AB56" i="15" s="1"/>
  <c r="G115" i="21"/>
  <c r="E17" i="21" s="1"/>
  <c r="E14" i="21" s="1"/>
  <c r="E18" i="21" s="1"/>
  <c r="S4" i="7"/>
  <c r="Q5" i="7"/>
  <c r="O7" i="7"/>
  <c r="O11" i="7" s="1"/>
  <c r="Q6" i="7"/>
  <c r="W15" i="7"/>
  <c r="U9" i="7"/>
  <c r="W8" i="7"/>
  <c r="E70" i="7" l="1"/>
  <c r="E72" i="7" s="1"/>
  <c r="K45" i="7"/>
  <c r="K47" i="7" s="1"/>
  <c r="K49" i="7"/>
  <c r="O16" i="7"/>
  <c r="M22" i="7"/>
  <c r="M35" i="7" s="1"/>
  <c r="M37" i="7" s="1"/>
  <c r="I48" i="7"/>
  <c r="I47" i="7"/>
  <c r="I60" i="7"/>
  <c r="G67" i="7"/>
  <c r="G62" i="7"/>
  <c r="G66" i="7"/>
  <c r="AC53" i="7"/>
  <c r="AA58" i="7"/>
  <c r="M26" i="3"/>
  <c r="BE19" i="3" s="1"/>
  <c r="U4" i="7"/>
  <c r="S5" i="7"/>
  <c r="Q7" i="7"/>
  <c r="Q11" i="7" s="1"/>
  <c r="S6" i="7"/>
  <c r="Y15" i="7"/>
  <c r="W9" i="7"/>
  <c r="Y8" i="7"/>
  <c r="K60" i="7" l="1"/>
  <c r="K67" i="7" s="1"/>
  <c r="K48" i="7"/>
  <c r="I62" i="7"/>
  <c r="I67" i="7"/>
  <c r="I66" i="7"/>
  <c r="G70" i="7"/>
  <c r="G72" i="7" s="1"/>
  <c r="M45" i="7"/>
  <c r="M49" i="7"/>
  <c r="Q16" i="7"/>
  <c r="O22" i="7"/>
  <c r="O35" i="7" s="1"/>
  <c r="O37" i="7" s="1"/>
  <c r="AE53" i="7"/>
  <c r="AC58" i="7"/>
  <c r="AB57" i="15"/>
  <c r="P204" i="3"/>
  <c r="U5" i="7"/>
  <c r="W4" i="7"/>
  <c r="S7" i="7"/>
  <c r="S11" i="7" s="1"/>
  <c r="U6" i="7"/>
  <c r="AA15" i="7"/>
  <c r="Y9" i="7"/>
  <c r="AA8" i="7"/>
  <c r="K66" i="7" l="1"/>
  <c r="K70" i="7" s="1"/>
  <c r="K62" i="7"/>
  <c r="I70" i="7"/>
  <c r="I72" i="7" s="1"/>
  <c r="M47" i="7"/>
  <c r="M60" i="7"/>
  <c r="M48" i="7"/>
  <c r="O45" i="7"/>
  <c r="O49" i="7"/>
  <c r="S16" i="7"/>
  <c r="Q22" i="7"/>
  <c r="Q35" i="7" s="1"/>
  <c r="Q37" i="7" s="1"/>
  <c r="AG53" i="7"/>
  <c r="AG58" i="7" s="1"/>
  <c r="AE58" i="7"/>
  <c r="AB59" i="15"/>
  <c r="AB77" i="15" s="1"/>
  <c r="W5" i="7"/>
  <c r="Y4" i="7"/>
  <c r="U7" i="7"/>
  <c r="U11" i="7" s="1"/>
  <c r="W6" i="7"/>
  <c r="AC15" i="7"/>
  <c r="AC8" i="7"/>
  <c r="AA9" i="7"/>
  <c r="K72" i="7" l="1"/>
  <c r="Q49" i="7"/>
  <c r="Q45" i="7"/>
  <c r="U16" i="7"/>
  <c r="S22" i="7"/>
  <c r="S35" i="7" s="1"/>
  <c r="S37" i="7" s="1"/>
  <c r="O48" i="7"/>
  <c r="O47" i="7"/>
  <c r="O60" i="7"/>
  <c r="M62" i="7"/>
  <c r="M67" i="7"/>
  <c r="M66" i="7"/>
  <c r="AB78" i="15"/>
  <c r="AB79" i="15" s="1"/>
  <c r="AB81" i="15" s="1"/>
  <c r="J82" i="15" s="1"/>
  <c r="AA4" i="7"/>
  <c r="Y5" i="7"/>
  <c r="Y6" i="7"/>
  <c r="W7" i="7"/>
  <c r="W11" i="7" s="1"/>
  <c r="AE15" i="7"/>
  <c r="AC9" i="7"/>
  <c r="AE8" i="7"/>
  <c r="M70" i="7" l="1"/>
  <c r="M72" i="7" s="1"/>
  <c r="O67" i="7"/>
  <c r="O66" i="7"/>
  <c r="O62" i="7"/>
  <c r="S45" i="7"/>
  <c r="S49" i="7"/>
  <c r="W16" i="7"/>
  <c r="U22" i="7"/>
  <c r="U35" i="7" s="1"/>
  <c r="U37" i="7" s="1"/>
  <c r="Q60" i="7"/>
  <c r="Q48" i="7"/>
  <c r="Q47" i="7"/>
  <c r="M27" i="3"/>
  <c r="BE20" i="3" s="1"/>
  <c r="I10" i="21"/>
  <c r="I11" i="21" s="1"/>
  <c r="AA5" i="7"/>
  <c r="AC4" i="7"/>
  <c r="Y7" i="7"/>
  <c r="Y11" i="7" s="1"/>
  <c r="AA6" i="7"/>
  <c r="AG15" i="7"/>
  <c r="AE9" i="7"/>
  <c r="AG8" i="7"/>
  <c r="AG9" i="7" s="1"/>
  <c r="O70" i="7" l="1"/>
  <c r="Y16" i="7"/>
  <c r="W22" i="7"/>
  <c r="W35" i="7" s="1"/>
  <c r="W37" i="7" s="1"/>
  <c r="U45" i="7"/>
  <c r="U49" i="7"/>
  <c r="S60" i="7"/>
  <c r="S48" i="7"/>
  <c r="S47" i="7"/>
  <c r="O72" i="7"/>
  <c r="Q66" i="7"/>
  <c r="Q67" i="7"/>
  <c r="Q62" i="7"/>
  <c r="I18" i="21"/>
  <c r="H4" i="21" s="1"/>
  <c r="P205" i="3"/>
  <c r="AC5" i="7"/>
  <c r="AE4" i="7"/>
  <c r="AC6" i="7"/>
  <c r="AA7" i="7"/>
  <c r="AA11" i="7" s="1"/>
  <c r="S66" i="7" l="1"/>
  <c r="S62" i="7"/>
  <c r="S67" i="7"/>
  <c r="Q70" i="7"/>
  <c r="Q72" i="7" s="1"/>
  <c r="U60" i="7"/>
  <c r="U48" i="7"/>
  <c r="U47" i="7"/>
  <c r="W49" i="7"/>
  <c r="W45" i="7"/>
  <c r="AA16" i="7"/>
  <c r="Y22" i="7"/>
  <c r="Y35" i="7" s="1"/>
  <c r="Y37" i="7" s="1"/>
  <c r="AE5" i="7"/>
  <c r="AG4" i="7"/>
  <c r="AE6" i="7"/>
  <c r="AC7" i="7"/>
  <c r="AC11" i="7" s="1"/>
  <c r="S70" i="7" l="1"/>
  <c r="S72" i="7" s="1"/>
  <c r="U67" i="7"/>
  <c r="U66" i="7"/>
  <c r="U62" i="7"/>
  <c r="Y45" i="7"/>
  <c r="Y49" i="7"/>
  <c r="AC16" i="7"/>
  <c r="AA22" i="7"/>
  <c r="AA35" i="7" s="1"/>
  <c r="AA37" i="7" s="1"/>
  <c r="W60" i="7"/>
  <c r="W47" i="7"/>
  <c r="W48" i="7"/>
  <c r="AG5" i="7"/>
  <c r="AE7" i="7"/>
  <c r="AE11" i="7" s="1"/>
  <c r="AG6" i="7"/>
  <c r="U70" i="7" l="1"/>
  <c r="U72" i="7" s="1"/>
  <c r="W67" i="7"/>
  <c r="W62" i="7"/>
  <c r="W66" i="7"/>
  <c r="AE16" i="7"/>
  <c r="AC22" i="7"/>
  <c r="AC35" i="7" s="1"/>
  <c r="AC37" i="7" s="1"/>
  <c r="AA45" i="7"/>
  <c r="AA49" i="7"/>
  <c r="Y47" i="7"/>
  <c r="Y48" i="7"/>
  <c r="Y60" i="7"/>
  <c r="AG7" i="7"/>
  <c r="AG11" i="7" s="1"/>
  <c r="AA60" i="7" l="1"/>
  <c r="AA47" i="7"/>
  <c r="AA48" i="7"/>
  <c r="AC49" i="7"/>
  <c r="AC45" i="7"/>
  <c r="AG16" i="7"/>
  <c r="AG22" i="7" s="1"/>
  <c r="AG35" i="7" s="1"/>
  <c r="AG37" i="7" s="1"/>
  <c r="AE22" i="7"/>
  <c r="AE35" i="7" s="1"/>
  <c r="AE37" i="7" s="1"/>
  <c r="Y67" i="7"/>
  <c r="Y62" i="7"/>
  <c r="Y66" i="7"/>
  <c r="W70" i="7"/>
  <c r="W72" i="7" s="1"/>
  <c r="AG49" i="7" l="1"/>
  <c r="AG45" i="7"/>
  <c r="AG48" i="7" s="1"/>
  <c r="AA66" i="7"/>
  <c r="AA67" i="7"/>
  <c r="AA62" i="7"/>
  <c r="AE49" i="7"/>
  <c r="AE45" i="7"/>
  <c r="AC47" i="7"/>
  <c r="AC60" i="7"/>
  <c r="AC48" i="7"/>
  <c r="Y70" i="7"/>
  <c r="Y72" i="7" s="1"/>
  <c r="AG47" i="7" l="1"/>
  <c r="AG60" i="7"/>
  <c r="AG66" i="7" s="1"/>
  <c r="AE48" i="7"/>
  <c r="AE47" i="7"/>
  <c r="AE60" i="7"/>
  <c r="AA70" i="7"/>
  <c r="AA72" i="7" s="1"/>
  <c r="AC66" i="7"/>
  <c r="AC62" i="7"/>
  <c r="AC67" i="7"/>
  <c r="AG62" i="7" l="1"/>
  <c r="AG67" i="7"/>
  <c r="AG70" i="7" s="1"/>
  <c r="AC70" i="7"/>
  <c r="AC72" i="7" s="1"/>
  <c r="AE67" i="7"/>
  <c r="AE62" i="7"/>
  <c r="AE66" i="7"/>
  <c r="BH753" i="3"/>
  <c r="AC753" i="3" s="1"/>
  <c r="BE42" i="3" s="1"/>
  <c r="AG72" i="7" l="1"/>
  <c r="AE70" i="7"/>
  <c r="AE72" i="7" s="1"/>
  <c r="E93" i="20"/>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AA335" authorId="0" shapeId="0" xr:uid="{8410B71B-010B-C146-8091-92F918B8482C}">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<sst xmlns="http://schemas.openxmlformats.org/spreadsheetml/2006/main" count="4977" uniqueCount="2723">
  <si>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</si>
  <si>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</si>
  <si>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</si>
  <si>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</si>
  <si>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</si>
  <si>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</si>
  <si>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</si>
  <si>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</si>
  <si>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</si>
  <si>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</si>
  <si>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</si>
  <si>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</si>
  <si>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</si>
  <si>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</si>
  <si>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</si>
  <si>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</si>
  <si>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</si>
  <si>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</si>
  <si>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</si>
  <si>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</si>
  <si>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</si>
  <si>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</si>
  <si>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</si>
  <si>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</si>
  <si>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</si>
  <si>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</si>
  <si>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</si>
  <si>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</si>
  <si>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</si>
  <si>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</si>
  <si>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</si>
  <si>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</si>
  <si>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</si>
  <si>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</si>
  <si>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</si>
  <si>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</si>
  <si>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</si>
  <si>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</si>
  <si>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</si>
  <si>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</si>
  <si>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</si>
  <si>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</si>
  <si>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</si>
  <si>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</si>
  <si>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</si>
  <si>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</si>
  <si>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</si>
  <si>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</si>
  <si>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</si>
  <si>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</si>
  <si>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</si>
  <si>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</si>
  <si>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</si>
  <si>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</si>
  <si>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</si>
  <si>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</si>
  <si>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</si>
  <si>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</si>
  <si>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</si>
  <si>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</si>
  <si>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</si>
  <si>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</si>
  <si>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</si>
  <si>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</si>
  <si>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</si>
  <si>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</si>
  <si>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</si>
  <si>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</si>
  <si>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</si>
  <si>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</si>
  <si>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</si>
  <si>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</si>
  <si>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</si>
  <si>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</si>
  <si>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</si>
  <si>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</si>
  <si>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</si>
  <si>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</si>
  <si>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</si>
  <si>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</si>
  <si>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</si>
  <si>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</si>
  <si>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</si>
  <si>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</si>
  <si>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</si>
  <si>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</si>
  <si>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</si>
  <si>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</si>
  <si>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</si>
  <si>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</si>
  <si>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</si>
  <si>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</si>
  <si>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</si>
  <si>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</si>
  <si>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</si>
  <si>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</si>
  <si>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</si>
  <si>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</si>
  <si>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</si>
  <si>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</si>
  <si>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</si>
  <si>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</si>
  <si>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</si>
  <si>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</si>
  <si>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</si>
  <si>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</si>
  <si>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</si>
  <si>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</si>
  <si>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</si>
  <si>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</si>
  <si>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</si>
  <si>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</si>
  <si>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</si>
  <si>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</si>
  <si>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</si>
  <si>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</si>
  <si>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</si>
  <si>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</si>
  <si>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</si>
  <si>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</si>
  <si>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</si>
  <si>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</si>
  <si>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</si>
  <si>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</si>
  <si>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</si>
  <si>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</si>
  <si>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</si>
  <si>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</si>
  <si>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</si>
  <si>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</si>
  <si>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</si>
  <si>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</si>
  <si>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</si>
  <si>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</si>
  <si>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</si>
  <si>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</si>
  <si>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</si>
  <si>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</si>
  <si>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</si>
  <si>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</si>
  <si>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</si>
  <si>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</si>
  <si>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</si>
  <si>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</si>
  <si>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</si>
  <si>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</si>
  <si>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</si>
  <si>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</si>
  <si>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</si>
  <si>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</si>
  <si>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</si>
  <si>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</si>
  <si>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</si>
  <si>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</si>
  <si>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</si>
  <si>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</si>
  <si>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</si>
  <si>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</si>
  <si>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</si>
  <si>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</si>
  <si>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</si>
  <si>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</si>
  <si>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</si>
  <si>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</si>
  <si>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</si>
  <si>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</si>
  <si>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</si>
  <si>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</si>
  <si>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</si>
  <si>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</si>
  <si>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</si>
  <si>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</si>
  <si>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</si>
  <si>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</si>
  <si>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</si>
  <si>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</si>
  <si>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</si>
  <si>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</si>
  <si>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</si>
  <si>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</si>
  <si>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</si>
  <si>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</si>
  <si>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</si>
  <si>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</si>
  <si>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</si>
  <si>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</si>
  <si>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</si>
  <si>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</si>
  <si>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</si>
  <si>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</si>
  <si>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</si>
  <si>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</si>
  <si>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</si>
  <si>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</si>
  <si>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</si>
  <si>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</si>
  <si>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</si>
  <si>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</si>
  <si>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</si>
  <si>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</si>
  <si>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</si>
  <si>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</si>
  <si>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</si>
  <si>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</si>
  <si>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</si>
  <si>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</si>
  <si>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</si>
  <si>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</si>
  <si>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</si>
  <si>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</si>
  <si>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</si>
  <si>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</si>
  <si>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</si>
  <si>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</si>
  <si>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</si>
  <si>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</si>
  <si>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</si>
  <si>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</si>
  <si>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</si>
  <si>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</si>
  <si>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</si>
  <si>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</si>
  <si>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</si>
  <si>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</si>
  <si>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</si>
  <si>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</si>
  <si>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</si>
  <si>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</si>
  <si>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</si>
  <si>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</si>
  <si>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</si>
  <si>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</si>
  <si>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</si>
  <si>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</si>
  <si>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</si>
  <si>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</si>
  <si>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</si>
  <si>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</si>
  <si>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</si>
  <si>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</si>
  <si>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</si>
  <si>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</si>
  <si>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</si>
  <si>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</si>
  <si>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</si>
  <si>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</si>
  <si>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</si>
  <si>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</si>
  <si>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</si>
  <si>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</si>
  <si>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</si>
  <si>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</si>
  <si>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</si>
  <si>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</si>
  <si>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</si>
  <si>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</si>
  <si>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</si>
  <si>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</si>
  <si>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</si>
  <si>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</si>
  <si>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</si>
  <si>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</si>
  <si>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</si>
  <si>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</si>
  <si>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</si>
  <si>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</si>
  <si>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</si>
  <si>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</si>
  <si>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</si>
  <si>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</si>
  <si>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</si>
  <si>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</si>
  <si>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</si>
  <si>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</si>
  <si>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</si>
  <si>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</si>
  <si>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</si>
  <si>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</si>
  <si>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</si>
  <si>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</si>
  <si>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</si>
  <si>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</si>
  <si>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</si>
  <si>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</si>
  <si>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</si>
  <si>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</si>
  <si>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</si>
  <si>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</si>
  <si>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</si>
  <si>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</si>
  <si>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</si>
  <si>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</si>
  <si>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</si>
  <si>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</si>
  <si>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</si>
  <si>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</si>
  <si>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</si>
  <si>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</si>
  <si>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</si>
  <si>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</si>
  <si>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</si>
  <si>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</si>
  <si>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</si>
  <si>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</si>
  <si>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</si>
  <si>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</si>
  <si>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</si>
  <si>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</si>
  <si>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</si>
  <si>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</si>
  <si>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</si>
  <si>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</si>
  <si>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</si>
  <si>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</si>
  <si>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</si>
  <si>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</si>
  <si>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</si>
  <si>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</si>
  <si>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</si>
  <si>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</si>
  <si>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</si>
  <si>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</si>
  <si>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</si>
  <si>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</si>
  <si>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</si>
  <si>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</si>
  <si>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</si>
  <si>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</si>
  <si>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</si>
  <si>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</si>
  <si>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</si>
  <si>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</si>
  <si>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</si>
  <si>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</si>
  <si>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</si>
  <si>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</si>
  <si>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</si>
  <si>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</si>
  <si>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</si>
  <si>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</si>
  <si>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</si>
  <si>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</si>
  <si>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</si>
  <si>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</si>
  <si>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</si>
  <si>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</si>
  <si>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</si>
  <si>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</si>
  <si>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</si>
  <si>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</si>
  <si>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</si>
  <si>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</si>
  <si>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</si>
  <si>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</si>
  <si>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</si>
  <si>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</si>
  <si>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</si>
  <si>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</si>
  <si>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</si>
  <si>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</si>
  <si>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</si>
  <si>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</si>
  <si>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</si>
  <si>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</si>
  <si>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</si>
  <si>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</si>
  <si>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</si>
  <si>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</si>
  <si>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</si>
  <si>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</si>
  <si>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</si>
  <si>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</si>
  <si>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</si>
  <si>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</si>
  <si>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</si>
  <si>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</si>
  <si>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</si>
  <si>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</si>
  <si>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</si>
  <si>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</si>
  <si>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</si>
  <si>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</si>
  <si>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</si>
  <si>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</si>
  <si>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</si>
  <si>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</si>
  <si>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</si>
  <si>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</si>
  <si>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</si>
  <si>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</si>
  <si>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</si>
  <si>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</si>
  <si>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</si>
  <si>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</si>
  <si>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</si>
  <si>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</si>
  <si>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</si>
  <si>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</si>
  <si>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</si>
  <si>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</si>
  <si>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</si>
  <si>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</si>
  <si>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</si>
  <si>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</si>
  <si>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</si>
  <si>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</si>
  <si>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</si>
  <si>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</si>
  <si>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</si>
  <si>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</si>
  <si>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</si>
  <si>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</si>
  <si>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</si>
  <si>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</si>
  <si>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</si>
  <si>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</si>
  <si>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</si>
  <si>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</si>
  <si>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</si>
  <si>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</si>
  <si>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</si>
  <si>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</si>
  <si>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</si>
  <si>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</si>
  <si>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</si>
  <si>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</si>
  <si>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</si>
  <si>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</si>
  <si>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</si>
  <si>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</si>
  <si>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</si>
  <si>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</si>
  <si>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</si>
  <si>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</si>
  <si>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</si>
  <si>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</si>
  <si>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</si>
  <si>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</si>
  <si>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</si>
  <si>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</si>
  <si>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</si>
  <si>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</si>
  <si>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</si>
  <si>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</si>
  <si>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</si>
  <si>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</si>
  <si>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</si>
  <si>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</si>
  <si>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</si>
  <si>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</si>
  <si>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</si>
  <si>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</si>
  <si>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</si>
  <si>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</si>
  <si>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</si>
  <si>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</si>
  <si>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</si>
  <si>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</si>
  <si>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</si>
  <si>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</si>
  <si>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</si>
  <si>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</si>
  <si>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</si>
  <si>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</si>
  <si>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</si>
  <si>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</si>
  <si>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</si>
  <si>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</si>
  <si>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</si>
  <si>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</si>
  <si>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</si>
  <si>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</si>
  <si>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</si>
  <si>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</si>
  <si>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</si>
  <si>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</si>
  <si>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</si>
  <si>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</si>
  <si>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</si>
  <si>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</si>
  <si>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</si>
  <si>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</si>
  <si>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</si>
  <si>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</si>
  <si>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</si>
  <si>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</si>
  <si>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</si>
  <si>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</si>
  <si>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</si>
  <si>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</si>
  <si>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</si>
  <si>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</si>
  <si>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</si>
  <si>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</si>
  <si>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</si>
  <si>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</si>
  <si>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</si>
  <si>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</si>
  <si>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</si>
  <si>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</si>
  <si>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</si>
  <si>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</si>
  <si>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</si>
  <si>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</si>
  <si>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</si>
  <si>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</si>
  <si>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</si>
  <si>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</si>
  <si>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</si>
  <si>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</si>
  <si>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</si>
  <si>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</si>
  <si>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</si>
  <si>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</si>
  <si>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</si>
  <si>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</si>
  <si>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</si>
  <si>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</si>
  <si>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</si>
  <si>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</si>
  <si>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</si>
  <si>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</si>
  <si>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</si>
  <si>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</si>
  <si>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</si>
  <si>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</si>
  <si>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</si>
  <si>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</si>
  <si>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</si>
  <si>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</si>
  <si>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</si>
  <si>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</si>
  <si>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</si>
  <si>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</si>
  <si>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</si>
  <si>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</si>
  <si>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</si>
  <si>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</si>
  <si>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</si>
  <si>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</si>
  <si>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</si>
  <si>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</si>
  <si>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</si>
  <si>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</si>
  <si>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</si>
  <si>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</si>
  <si>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</si>
  <si>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</si>
  <si>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</si>
  <si>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</si>
  <si>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</si>
  <si>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</si>
  <si>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</si>
  <si>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</si>
  <si>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</si>
  <si>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</si>
  <si>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</si>
  <si>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</si>
  <si>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</si>
  <si>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</si>
  <si>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</si>
  <si>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</si>
  <si>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</si>
  <si>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</si>
  <si>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</si>
  <si>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</si>
  <si>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</si>
  <si>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</si>
  <si>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</si>
  <si>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</si>
  <si>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</si>
  <si>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</si>
  <si>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</si>
  <si>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</si>
  <si>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</si>
  <si>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</si>
  <si>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</si>
  <si>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</si>
  <si>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</si>
  <si>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</si>
  <si>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</si>
  <si>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</si>
  <si>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</si>
  <si>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</si>
  <si>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</si>
  <si>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</si>
  <si>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</si>
  <si>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</si>
  <si>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</si>
  <si>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</si>
  <si>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</si>
  <si>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</si>
  <si>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</si>
  <si>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</si>
  <si>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</si>
  <si>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</si>
  <si>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</si>
  <si>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</si>
  <si>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</si>
  <si>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</si>
  <si>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</si>
  <si>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</si>
  <si>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</si>
  <si>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</si>
  <si>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</si>
  <si>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</si>
  <si>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</si>
  <si>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</si>
  <si>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</si>
  <si>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</si>
  <si>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</si>
  <si>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</si>
  <si>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</si>
  <si>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</si>
  <si>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</si>
  <si>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</si>
  <si>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</si>
  <si>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</si>
  <si>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</si>
  <si>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</si>
  <si>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</si>
  <si>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</si>
  <si>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</si>
  <si>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</si>
  <si>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</si>
  <si>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</si>
  <si>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</si>
  <si>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</si>
  <si>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</si>
  <si>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</si>
  <si>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</si>
  <si>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</si>
  <si>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</si>
  <si>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</si>
  <si>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</si>
  <si>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</si>
  <si>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</si>
  <si>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</si>
  <si>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</si>
  <si>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</si>
  <si>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</si>
  <si>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</si>
  <si>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</si>
  <si>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</si>
  <si>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</si>
  <si>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</si>
  <si>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</si>
  <si>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</si>
  <si>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</si>
  <si>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</si>
  <si>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</si>
  <si>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</si>
  <si>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</si>
  <si>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</si>
  <si>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</si>
  <si>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</si>
  <si>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</si>
  <si>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</si>
  <si>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</si>
  <si>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</si>
  <si>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</si>
  <si>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</si>
  <si>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</si>
  <si>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</si>
  <si>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</si>
  <si>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</si>
  <si>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</si>
  <si>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</si>
  <si>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</si>
  <si>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</si>
  <si>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</si>
  <si>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</si>
  <si>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</si>
  <si>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</si>
  <si>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</si>
  <si>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</si>
  <si>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</si>
  <si>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</si>
  <si>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</si>
  <si>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</si>
  <si>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</si>
  <si>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</si>
  <si>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</si>
  <si>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</si>
  <si>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</si>
  <si>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</si>
  <si>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</si>
  <si>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</si>
  <si>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</si>
  <si>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</si>
  <si>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</si>
  <si>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</si>
  <si>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</si>
  <si>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</si>
  <si>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</si>
  <si>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</si>
  <si>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</si>
  <si>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</si>
  <si>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</si>
  <si>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</si>
  <si>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</si>
  <si>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</si>
  <si>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</si>
  <si>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</si>
  <si>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</si>
  <si>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</si>
  <si>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</si>
  <si>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</si>
  <si>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</si>
  <si>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</si>
  <si>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</si>
  <si>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</si>
  <si>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</si>
  <si>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</si>
  <si>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</si>
  <si>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</si>
  <si>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</si>
  <si>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</si>
  <si>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</si>
  <si>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</si>
  <si>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</si>
  <si>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</si>
  <si>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</si>
  <si>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</si>
  <si>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</si>
  <si>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</si>
  <si>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</si>
  <si>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</si>
  <si>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</si>
  <si>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</si>
  <si>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</si>
  <si>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</si>
  <si>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</si>
  <si>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</si>
  <si>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</si>
  <si>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</si>
  <si>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</si>
  <si>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</si>
  <si>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</si>
  <si>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</si>
  <si>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</si>
  <si>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</si>
  <si>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</si>
  <si>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</si>
  <si>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</si>
  <si>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</si>
  <si>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</si>
  <si>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</si>
  <si>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</si>
  <si>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</si>
  <si>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</si>
  <si>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</si>
  <si>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</si>
  <si>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</si>
  <si>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</si>
  <si>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</si>
  <si>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</si>
  <si>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</si>
  <si>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</si>
  <si>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</si>
  <si>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</si>
  <si>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</si>
  <si>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</si>
  <si>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</si>
  <si>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</si>
  <si>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</si>
  <si>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</si>
  <si>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</si>
  <si>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</si>
  <si>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</si>
  <si>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</si>
  <si>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</si>
  <si>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</si>
  <si>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</si>
  <si>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</si>
  <si>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</si>
  <si>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</si>
  <si>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</si>
  <si>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</si>
  <si>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</si>
  <si>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</si>
  <si>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</si>
  <si>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</si>
  <si>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</si>
  <si>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</si>
  <si>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</si>
  <si>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</si>
  <si>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</si>
  <si>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</si>
  <si>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</si>
  <si>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</si>
  <si>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</si>
  <si>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</si>
  <si>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</si>
  <si>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</si>
  <si>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</si>
  <si>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</si>
  <si>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</si>
  <si>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</si>
  <si>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</si>
  <si>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</si>
  <si>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</si>
  <si>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</si>
  <si>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</si>
  <si>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</si>
  <si>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</si>
  <si>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</si>
  <si>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</si>
  <si>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</si>
  <si>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</si>
  <si>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</si>
  <si>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</si>
  <si>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</si>
  <si>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</si>
  <si>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</si>
  <si>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</si>
  <si>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</si>
  <si>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</si>
  <si>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</si>
  <si>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</si>
  <si>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</si>
  <si>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</si>
  <si>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</si>
  <si>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</si>
  <si>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</si>
  <si>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</si>
  <si>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</si>
  <si>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</si>
  <si>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</si>
  <si>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</si>
  <si>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</si>
  <si>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</si>
  <si>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</si>
  <si>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</si>
  <si>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</si>
  <si>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</si>
  <si>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</si>
  <si>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</si>
  <si>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</si>
  <si>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</si>
  <si>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</si>
  <si>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</si>
  <si>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</si>
  <si>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</si>
  <si>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</si>
  <si>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</si>
  <si>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</si>
  <si>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</si>
  <si>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</si>
  <si>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</si>
  <si>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</si>
  <si>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</si>
  <si>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</si>
  <si>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</si>
  <si>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</si>
  <si>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</si>
  <si>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</si>
  <si>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</si>
  <si>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</si>
  <si>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</si>
  <si>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</si>
  <si>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</si>
  <si>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</si>
  <si>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</si>
  <si>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</si>
  <si>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</si>
  <si>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</si>
  <si>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</si>
  <si>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</si>
  <si>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</si>
  <si>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</si>
  <si>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</si>
  <si>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</si>
  <si>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</si>
  <si>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</si>
  <si>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</si>
  <si>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</si>
  <si>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</si>
  <si>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</si>
  <si>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</si>
  <si>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</si>
  <si>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</si>
  <si>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</si>
  <si>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</si>
  <si>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</si>
  <si>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</si>
  <si>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</si>
  <si>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</si>
  <si>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</si>
  <si>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</si>
  <si>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</si>
  <si>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</si>
  <si>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</si>
  <si>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</si>
  <si>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</si>
  <si>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</si>
  <si>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</si>
  <si>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</si>
  <si>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</si>
  <si>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</si>
  <si>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</si>
  <si>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</si>
  <si>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</si>
  <si>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</si>
  <si>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</si>
  <si>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</si>
  <si>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</si>
  <si>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</si>
  <si>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</si>
  <si>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</si>
  <si>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</si>
  <si>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</si>
  <si>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</si>
  <si>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</si>
  <si>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</si>
  <si>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</si>
  <si>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</si>
  <si>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</si>
  <si>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</si>
  <si>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</si>
  <si>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</si>
  <si>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</si>
  <si>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</si>
  <si>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</si>
  <si>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</si>
  <si>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</si>
  <si>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</si>
  <si>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</si>
  <si>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</si>
  <si>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</si>
  <si>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</si>
  <si>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</si>
  <si>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</si>
  <si>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</si>
  <si>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</si>
  <si>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</si>
  <si>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</si>
  <si>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</si>
  <si>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</si>
  <si>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</si>
  <si>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</si>
  <si>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</si>
  <si>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</si>
  <si>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</si>
  <si>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</si>
  <si>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</si>
  <si>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</si>
  <si>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</si>
  <si>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</si>
  <si>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</si>
  <si>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</si>
  <si>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</si>
  <si>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</si>
  <si>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</si>
  <si>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</si>
  <si>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</si>
  <si>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</si>
  <si>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</si>
  <si>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</si>
  <si>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</si>
  <si>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</si>
  <si>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</si>
  <si>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</si>
  <si>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</si>
  <si>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</si>
  <si>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</si>
  <si>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</si>
  <si>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</si>
  <si>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</si>
  <si>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</si>
  <si>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</si>
  <si>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</si>
  <si>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</si>
  <si>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</si>
  <si>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</si>
  <si>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</si>
  <si>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</si>
  <si>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</si>
  <si>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</si>
  <si>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</si>
  <si>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</si>
  <si>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</si>
  <si>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</si>
  <si>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</si>
  <si>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</si>
  <si>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</si>
  <si>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</si>
  <si>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</si>
  <si>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</si>
  <si>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</si>
  <si>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</si>
  <si>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</si>
  <si>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</si>
  <si>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</si>
  <si>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</si>
  <si>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</si>
  <si>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</si>
  <si>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</si>
  <si>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</si>
  <si>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</si>
  <si>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</si>
  <si>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</si>
  <si>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</si>
  <si>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</si>
  <si>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</si>
  <si>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</si>
  <si>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</si>
  <si>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</si>
  <si>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</si>
  <si>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</si>
  <si>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</si>
  <si>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</si>
  <si>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</si>
  <si>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</si>
  <si>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</si>
  <si>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</si>
  <si>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</si>
  <si>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</si>
  <si>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</si>
  <si>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</si>
  <si>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</si>
  <si>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</si>
  <si>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</si>
  <si>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</si>
  <si>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</si>
  <si>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</si>
  <si>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</si>
  <si>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</si>
  <si>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</si>
  <si>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</si>
  <si>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</si>
  <si>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</si>
  <si>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</si>
  <si>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</si>
  <si>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</si>
  <si>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</si>
  <si>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</si>
  <si>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</si>
  <si>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</si>
  <si>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</si>
  <si>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</si>
  <si>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</si>
  <si>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</si>
  <si>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</si>
  <si>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</si>
  <si>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</si>
  <si>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</si>
  <si>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</si>
  <si>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</si>
  <si>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</si>
  <si>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</si>
  <si>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</si>
  <si>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</si>
  <si>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</si>
  <si>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</si>
  <si>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</si>
  <si>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</si>
  <si>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</si>
  <si>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</si>
  <si>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</si>
  <si>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</si>
  <si>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</si>
  <si>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</si>
  <si>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</si>
  <si>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</si>
  <si>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</si>
  <si>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</si>
  <si>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</si>
  <si>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</si>
  <si>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</si>
  <si>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</si>
  <si>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</si>
  <si>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</si>
  <si>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</si>
  <si>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</si>
  <si>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</si>
  <si>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</si>
  <si>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</si>
  <si>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</si>
  <si>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</si>
  <si>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</si>
  <si>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</si>
  <si>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</si>
  <si>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</si>
  <si>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</si>
  <si>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</si>
  <si>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</si>
  <si>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</si>
  <si>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</si>
  <si>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</si>
  <si>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</si>
  <si>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</si>
  <si>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</si>
  <si>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</si>
  <si>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</si>
  <si>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</si>
  <si>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</si>
  <si>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</si>
  <si>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</si>
  <si>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</si>
  <si>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</si>
  <si>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</si>
  <si>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</si>
  <si>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</si>
  <si>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</si>
  <si>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</si>
  <si>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</si>
  <si>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</si>
  <si>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</si>
  <si>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</si>
  <si>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</si>
  <si>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</si>
  <si>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</si>
  <si>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</si>
  <si>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</si>
  <si>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</si>
  <si>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</si>
  <si>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</si>
  <si>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</si>
  <si>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</si>
  <si>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</si>
  <si>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</si>
  <si>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</si>
  <si>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</si>
  <si>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</si>
  <si>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</si>
  <si>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</si>
  <si>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</si>
  <si>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</si>
  <si>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</si>
  <si>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</si>
  <si>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</si>
  <si>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</si>
  <si>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</si>
  <si>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</si>
  <si>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</si>
  <si>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</si>
  <si>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</si>
  <si>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</si>
  <si>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</si>
  <si>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</si>
  <si>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</si>
  <si>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</si>
  <si>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</si>
  <si>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</si>
  <si>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</si>
  <si>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</si>
  <si>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</si>
  <si>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</si>
  <si>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</si>
  <si>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</si>
  <si>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</si>
  <si>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</si>
  <si>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</si>
  <si>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</si>
  <si>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</si>
  <si>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</si>
  <si>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</si>
  <si>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</si>
  <si>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</si>
  <si>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</si>
  <si>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</si>
  <si>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</si>
  <si>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</si>
  <si>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</si>
  <si>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</si>
  <si>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</si>
  <si>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</si>
  <si>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</si>
  <si>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</si>
  <si>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</si>
  <si>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</si>
  <si>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</si>
  <si>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</si>
  <si>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</si>
  <si>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</si>
  <si>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</si>
  <si>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</si>
  <si>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</si>
  <si>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</si>
  <si>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</si>
  <si>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</si>
  <si>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</si>
  <si>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</si>
  <si>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</si>
  <si>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</si>
  <si>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</si>
  <si>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</si>
  <si>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</si>
  <si>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</si>
  <si>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</si>
  <si>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</si>
  <si>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</si>
  <si>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</si>
  <si>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</si>
  <si>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</si>
  <si>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</si>
  <si>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</si>
  <si>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</si>
  <si>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</si>
  <si>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</si>
  <si>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</si>
  <si>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</si>
  <si>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</si>
  <si>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</si>
  <si>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</si>
  <si>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</si>
  <si>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</si>
  <si>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</si>
  <si>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</si>
  <si>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</si>
  <si>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</si>
  <si>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</si>
  <si>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</si>
  <si>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</si>
  <si>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</si>
  <si>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</si>
  <si>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</si>
  <si>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</si>
  <si>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</si>
  <si>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</si>
  <si>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</si>
  <si>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</si>
  <si>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</si>
  <si>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</si>
  <si>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</si>
  <si>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</si>
  <si>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</si>
  <si>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</si>
  <si>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</si>
  <si>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</si>
  <si>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</si>
  <si>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</si>
  <si>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</si>
  <si>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</si>
  <si>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</si>
  <si>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</si>
  <si>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</si>
  <si>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</si>
  <si>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</si>
  <si>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</si>
  <si>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</si>
  <si>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</si>
  <si>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</si>
  <si>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</si>
  <si>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</si>
  <si>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</si>
  <si>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</si>
  <si>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</si>
  <si>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</si>
  <si>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</si>
  <si>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</si>
  <si>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</si>
  <si>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</si>
  <si>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</si>
  <si>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</si>
  <si>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</si>
  <si>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</si>
  <si>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</si>
  <si>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</si>
  <si>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</si>
  <si>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</si>
  <si>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</si>
  <si>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</si>
  <si>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</si>
  <si>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</si>
  <si>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</si>
  <si>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</si>
  <si>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</si>
  <si>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</si>
  <si>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</si>
  <si>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</si>
  <si>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</si>
  <si>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</si>
  <si>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</si>
  <si>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</si>
  <si>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</si>
  <si>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</si>
  <si>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</si>
  <si>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</si>
  <si>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</si>
  <si>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</si>
  <si>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</si>
  <si>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</si>
  <si>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</si>
  <si>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</si>
  <si>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</si>
  <si>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</si>
  <si>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</si>
  <si>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</si>
  <si>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</si>
  <si>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</si>
  <si>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</si>
  <si>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</si>
  <si>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</si>
  <si>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</si>
  <si>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</si>
  <si>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</si>
  <si>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</si>
  <si>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</si>
  <si>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</si>
  <si>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</si>
  <si>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</si>
  <si>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</si>
  <si>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</si>
  <si>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</si>
  <si>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</si>
  <si>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</si>
  <si>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</si>
  <si>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</si>
  <si>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</si>
  <si>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</si>
  <si>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</si>
  <si>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</si>
  <si>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</si>
  <si>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</si>
  <si>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</si>
  <si>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</si>
  <si>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</si>
  <si>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</si>
  <si>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</si>
  <si>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</si>
  <si>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</si>
  <si>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</si>
  <si>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</si>
  <si>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</si>
  <si>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</si>
  <si>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</si>
  <si>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</si>
  <si>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</si>
  <si>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</si>
  <si>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</si>
  <si>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</si>
  <si>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</si>
  <si>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</si>
  <si>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</si>
  <si>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</si>
  <si>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</si>
  <si>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</si>
  <si>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</si>
  <si>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</si>
  <si>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</si>
  <si>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</si>
  <si>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</si>
  <si>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</si>
  <si>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</si>
  <si>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</si>
  <si>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</si>
  <si>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</si>
  <si>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</si>
  <si>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</si>
  <si>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</si>
  <si>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</si>
  <si>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</si>
  <si>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</si>
  <si>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</si>
  <si>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</si>
  <si>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</si>
  <si>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</si>
  <si>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</si>
  <si>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</si>
  <si>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</si>
  <si>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</si>
  <si>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</si>
  <si>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</si>
  <si>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</si>
  <si>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</si>
  <si>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</si>
  <si>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</si>
  <si>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</si>
  <si>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</si>
  <si>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</si>
  <si>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</si>
  <si>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</si>
  <si>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</si>
  <si>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</si>
  <si>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</si>
  <si>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</si>
  <si>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</si>
  <si>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</si>
  <si>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</si>
  <si>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</si>
  <si>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</si>
  <si>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</si>
  <si>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</si>
  <si>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</si>
  <si>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</si>
  <si>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</si>
  <si>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</si>
  <si>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</si>
  <si>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</si>
  <si>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</si>
  <si>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</si>
  <si>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</si>
  <si>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</si>
  <si>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</si>
  <si>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</si>
  <si>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</si>
  <si>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</si>
  <si>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</si>
  <si>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</si>
  <si>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</si>
  <si>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</si>
  <si>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</si>
  <si>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</si>
  <si>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</si>
  <si>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</si>
  <si>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</si>
  <si>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</si>
  <si>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</si>
  <si>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</si>
  <si>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</si>
  <si>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</si>
  <si>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</si>
  <si>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</si>
  <si>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</si>
  <si>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</si>
  <si>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</si>
  <si>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</si>
  <si>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</si>
  <si>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</si>
  <si>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</si>
  <si>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</si>
  <si>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</si>
  <si>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</si>
  <si>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</si>
  <si>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</si>
  <si>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</si>
  <si>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</si>
  <si>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</si>
  <si>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</si>
  <si>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</si>
  <si>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</si>
  <si>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</si>
  <si>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</si>
  <si>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</si>
  <si>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</si>
  <si>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</si>
  <si>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</si>
  <si>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</si>
  <si>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</si>
  <si>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</si>
  <si>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</si>
  <si>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</si>
  <si>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</si>
  <si>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</si>
  <si>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</si>
  <si>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</si>
  <si>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</si>
  <si>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</si>
  <si>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</si>
  <si>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</si>
  <si>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</si>
  <si>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</si>
  <si>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</si>
  <si>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</si>
  <si>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</si>
  <si>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</si>
  <si>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</si>
  <si>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</si>
  <si>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</si>
  <si>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</si>
  <si>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</si>
  <si>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</si>
  <si>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</si>
  <si>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</si>
  <si>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</si>
  <si>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</si>
  <si>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</si>
  <si>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</si>
  <si>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</si>
  <si>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</si>
  <si>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</si>
  <si>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</si>
  <si>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</si>
  <si>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</si>
  <si>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</si>
  <si>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</si>
  <si>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</si>
  <si>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</si>
  <si>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</si>
  <si>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</si>
  <si>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</si>
  <si>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</si>
  <si>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</si>
  <si>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</si>
  <si>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</si>
  <si>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</si>
  <si>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</si>
  <si>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</si>
  <si>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</si>
  <si>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</si>
  <si>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</si>
  <si>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</si>
  <si>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</si>
  <si>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</si>
  <si>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</si>
  <si>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</si>
  <si>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</si>
  <si>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</si>
  <si>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</si>
  <si>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</si>
  <si>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</si>
  <si>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</si>
  <si>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</si>
  <si>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</si>
  <si>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</si>
  <si>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</si>
  <si>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</si>
  <si>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</si>
  <si>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</si>
  <si>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</si>
  <si>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</si>
  <si>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</si>
  <si>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</si>
  <si>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</si>
  <si>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</si>
  <si>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</si>
  <si>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</si>
  <si>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</si>
  <si>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</si>
  <si>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</si>
  <si>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</si>
  <si>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</si>
  <si>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</si>
  <si>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</si>
  <si>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</si>
  <si>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</si>
  <si>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</si>
  <si>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</si>
  <si>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</si>
  <si>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</si>
  <si>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</si>
  <si>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</si>
  <si>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</si>
  <si>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</si>
  <si>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</si>
  <si>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</si>
  <si>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</si>
  <si>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</si>
  <si>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</si>
  <si>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</si>
  <si>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</si>
  <si>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</si>
  <si>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</si>
  <si>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</si>
  <si>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</si>
  <si>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</si>
  <si>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</si>
  <si>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</si>
  <si>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</si>
  <si>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</si>
  <si>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</si>
  <si>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</si>
  <si>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</si>
  <si>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</si>
  <si>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</si>
  <si>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</si>
  <si>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</si>
  <si>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</si>
  <si>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</si>
  <si>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</si>
  <si>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</si>
  <si>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</si>
  <si>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</si>
  <si>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</si>
  <si>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</si>
  <si>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</si>
  <si>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</si>
  <si>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</si>
  <si>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</si>
  <si>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</si>
  <si>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</si>
  <si>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</si>
  <si>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</si>
  <si>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</si>
  <si>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</si>
  <si>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</si>
  <si>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</si>
  <si>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</si>
  <si>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</si>
  <si>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</si>
  <si>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</si>
  <si>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</si>
  <si>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</si>
  <si>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</si>
  <si>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</si>
  <si>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</si>
  <si>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</si>
  <si>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</si>
  <si>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</si>
  <si>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</si>
  <si>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</si>
  <si>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</si>
  <si>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</si>
  <si>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</si>
  <si>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</si>
  <si>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</si>
  <si>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</si>
  <si>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</si>
  <si>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</si>
  <si>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</si>
  <si>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</si>
  <si>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</si>
  <si>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</si>
  <si>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</si>
  <si>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</si>
  <si>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</si>
  <si>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</si>
  <si>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</si>
  <si>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</si>
  <si>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</si>
  <si>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</si>
  <si>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</si>
  <si>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</si>
  <si>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</si>
  <si>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</si>
  <si>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</si>
  <si>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</si>
  <si>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</si>
  <si>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</si>
  <si>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</si>
  <si>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</si>
  <si>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</si>
  <si>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</si>
  <si>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</si>
  <si>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</si>
  <si>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</si>
  <si>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</si>
  <si>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</si>
  <si>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</si>
  <si>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</si>
  <si>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</si>
  <si>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</si>
  <si>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</si>
  <si>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</si>
  <si>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</si>
  <si>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</si>
  <si>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</si>
  <si>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</si>
  <si>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</si>
  <si>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</si>
  <si>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</si>
  <si>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</si>
  <si>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</si>
  <si>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</si>
  <si>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</si>
  <si>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</si>
  <si>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</si>
  <si>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</si>
  <si>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</si>
  <si>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</si>
  <si>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</si>
  <si>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</si>
  <si>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</si>
  <si>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</si>
  <si>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</si>
  <si>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</si>
  <si>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</si>
  <si>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</si>
  <si>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</si>
  <si>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</si>
  <si>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</si>
  <si>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</si>
  <si>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</si>
  <si>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</si>
  <si>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</si>
  <si>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</si>
  <si>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</si>
  <si>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</si>
  <si>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</si>
  <si>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</si>
  <si>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</si>
  <si>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</si>
  <si>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</si>
  <si>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</si>
  <si>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</si>
  <si>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</si>
  <si>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</si>
  <si>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</si>
  <si>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</si>
  <si>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</si>
  <si>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</si>
  <si>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</si>
  <si>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</si>
  <si>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</si>
  <si>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</si>
  <si>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</si>
  <si>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</si>
  <si>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</si>
  <si>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</si>
  <si>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</si>
  <si>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</si>
  <si>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</si>
  <si>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</si>
  <si>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</si>
  <si>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</si>
  <si>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</si>
  <si>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</si>
  <si>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</si>
  <si>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</si>
  <si>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</si>
  <si>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</si>
  <si>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</si>
  <si>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</si>
  <si>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</si>
  <si>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</si>
  <si>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</si>
  <si>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</si>
  <si>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</si>
  <si>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</si>
  <si>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</si>
  <si>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</si>
  <si>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</si>
  <si>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</si>
  <si>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</si>
  <si>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</si>
  <si>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</si>
  <si>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</si>
  <si>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</si>
  <si>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</si>
  <si>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</si>
  <si>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</si>
  <si>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</si>
  <si>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</si>
  <si>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</si>
  <si>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</si>
  <si>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</si>
  <si>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</si>
  <si>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</si>
  <si>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</si>
  <si>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</si>
  <si>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</si>
  <si>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</si>
  <si>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</si>
  <si>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</si>
  <si>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</si>
  <si>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</si>
  <si>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</si>
  <si>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</si>
  <si>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</si>
  <si>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</si>
  <si>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</si>
  <si>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</si>
  <si>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</si>
  <si>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</si>
  <si>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</si>
  <si>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</si>
  <si>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</si>
  <si>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</si>
  <si>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</si>
  <si>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</si>
  <si>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</si>
  <si>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</si>
  <si>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</si>
  <si>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</si>
  <si>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</si>
  <si>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</si>
  <si>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</si>
  <si>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</si>
  <si>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</si>
  <si>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</si>
  <si>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</si>
  <si>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</si>
  <si>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</si>
  <si>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</si>
  <si>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</si>
  <si>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</si>
  <si>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</si>
  <si>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</si>
  <si>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</si>
  <si>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</si>
  <si>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</si>
  <si>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</si>
  <si>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</si>
  <si>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</si>
  <si>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</si>
  <si>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</si>
  <si>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</si>
  <si>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</si>
  <si>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</si>
  <si>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</si>
  <si>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</si>
  <si>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</si>
  <si>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</si>
  <si>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</si>
  <si>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</si>
  <si>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</si>
  <si>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</si>
  <si>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</si>
  <si>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</si>
  <si>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</si>
  <si>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</si>
  <si>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</si>
  <si>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</si>
  <si>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</si>
  <si>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</si>
  <si>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</si>
  <si>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</si>
  <si>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</si>
  <si>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</si>
  <si>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</si>
  <si>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</si>
  <si>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</si>
  <si>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</si>
  <si>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</si>
  <si>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</si>
  <si>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</si>
  <si>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</si>
  <si>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</si>
  <si>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</si>
  <si>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</si>
  <si>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</si>
  <si>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</si>
  <si>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</si>
  <si>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</si>
  <si>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</si>
  <si>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</si>
  <si>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</si>
  <si>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</si>
  <si>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</si>
  <si>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</si>
  <si>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</si>
  <si>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</si>
  <si>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</si>
  <si>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</si>
  <si>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</si>
  <si>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</si>
  <si>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</si>
  <si>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</si>
  <si>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</si>
  <si>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</si>
  <si>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</si>
  <si>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</si>
  <si>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</si>
  <si>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</si>
  <si>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</si>
  <si>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</si>
  <si>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</si>
  <si>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</si>
  <si>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</si>
  <si>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</si>
  <si>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</si>
  <si>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</si>
  <si>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</si>
  <si>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</si>
  <si>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</si>
  <si>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</si>
  <si>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</si>
  <si>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</si>
  <si>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</si>
  <si>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</si>
  <si>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</si>
  <si>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</si>
  <si>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</si>
  <si>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</si>
  <si>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</si>
  <si>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</si>
  <si>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</si>
  <si>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</si>
  <si>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</si>
  <si>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</si>
  <si>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</si>
  <si>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</si>
  <si>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</si>
  <si>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</si>
  <si>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</si>
  <si>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</si>
  <si>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</si>
  <si>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</si>
  <si>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</si>
  <si>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</si>
  <si>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</si>
  <si>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</si>
  <si>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</si>
  <si>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</si>
  <si>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</si>
  <si>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</si>
  <si>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</si>
  <si>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</si>
  <si>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</si>
  <si>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</si>
  <si>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</si>
  <si>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</si>
  <si>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</si>
  <si>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</si>
  <si>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</si>
  <si>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</si>
  <si>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</si>
  <si>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</si>
  <si>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</si>
  <si>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</si>
  <si>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</si>
  <si>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</si>
  <si>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</si>
  <si>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</si>
  <si>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</si>
  <si>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</si>
  <si>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</si>
  <si>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</si>
  <si>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</si>
  <si>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</si>
  <si>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</si>
  <si>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</si>
  <si>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</si>
  <si>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</si>
  <si>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</si>
  <si>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</si>
  <si>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</si>
  <si>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</si>
  <si>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</si>
  <si>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</si>
  <si>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</si>
  <si>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</si>
  <si>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</si>
  <si>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</si>
  <si>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</si>
  <si>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</si>
  <si>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</si>
  <si>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</si>
  <si>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</si>
  <si>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</si>
  <si>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</si>
  <si>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</si>
  <si>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</si>
  <si>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</si>
  <si>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</si>
  <si>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</si>
  <si>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</si>
  <si>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</si>
  <si>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</si>
  <si>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</si>
  <si>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</si>
  <si>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</si>
  <si>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</si>
  <si>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</si>
  <si>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</si>
  <si>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</si>
  <si>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</si>
  <si>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</si>
  <si>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</si>
  <si>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</si>
  <si>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</si>
  <si>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</si>
  <si>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</si>
  <si>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</si>
  <si>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</si>
  <si>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</si>
  <si>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</si>
  <si>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</si>
  <si>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</si>
  <si>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</si>
  <si>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</si>
  <si>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</si>
  <si>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</si>
  <si>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</si>
  <si>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</si>
  <si>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</si>
  <si>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</si>
  <si>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</si>
  <si>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</si>
  <si>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</si>
  <si>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</si>
  <si>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</si>
  <si>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</si>
  <si>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</si>
  <si>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</si>
  <si>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</si>
  <si>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</si>
  <si>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</si>
  <si>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</si>
  <si>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</si>
  <si>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</si>
  <si>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</si>
  <si>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</si>
  <si>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</si>
  <si>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</si>
  <si>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</si>
  <si>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</si>
  <si>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</si>
  <si>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</si>
  <si>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</si>
  <si>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</si>
  <si>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</si>
  <si>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</si>
  <si>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</si>
  <si>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</si>
  <si>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</si>
  <si>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</si>
  <si>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</si>
  <si>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</si>
  <si>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</si>
  <si>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</si>
  <si>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</si>
  <si>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</si>
  <si>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</si>
  <si>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</si>
  <si>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</si>
  <si>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</si>
  <si>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</si>
  <si>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</si>
  <si>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</si>
  <si>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</si>
  <si>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</si>
  <si>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</si>
  <si>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</si>
  <si>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</si>
  <si>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</si>
  <si>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</si>
  <si>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</si>
  <si>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</si>
  <si>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</si>
  <si>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</si>
  <si>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</si>
  <si>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</si>
  <si>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</si>
  <si>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</si>
  <si>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</si>
  <si>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</si>
  <si>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</si>
  <si>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</si>
  <si>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</si>
  <si>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</si>
  <si>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</si>
  <si>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</si>
  <si>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</si>
  <si>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</si>
  <si>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</si>
  <si>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</si>
  <si>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</si>
  <si>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</si>
  <si>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</si>
  <si>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</si>
  <si>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</si>
  <si>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</si>
  <si>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</si>
  <si>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</si>
  <si>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</si>
  <si>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</si>
  <si>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</si>
  <si>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</si>
  <si>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</si>
  <si>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</si>
  <si>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</si>
  <si>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</si>
  <si>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</si>
  <si>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</si>
  <si>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</si>
  <si>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</si>
  <si>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</si>
  <si>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</si>
  <si>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</si>
  <si>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</si>
  <si>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</si>
  <si>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</si>
  <si>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</si>
  <si>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</si>
  <si>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</si>
  <si>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</si>
  <si>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</si>
  <si>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</si>
  <si>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</si>
  <si>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</si>
  <si>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</si>
  <si>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</si>
  <si>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</si>
  <si>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</si>
  <si>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</si>
  <si>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</si>
  <si>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</si>
  <si>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</si>
  <si>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</si>
  <si>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</si>
  <si>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</si>
  <si>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</si>
  <si>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</si>
  <si>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</si>
  <si>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</si>
  <si>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</si>
  <si>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</si>
  <si>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</si>
  <si>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</si>
  <si>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</si>
  <si>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</si>
  <si>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</si>
  <si>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</si>
  <si>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</si>
  <si>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</si>
  <si>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</si>
  <si>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</si>
  <si>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</si>
  <si>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</si>
  <si>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</si>
  <si>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</si>
  <si>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</si>
  <si>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</si>
  <si>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</si>
  <si>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</si>
  <si>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</si>
  <si>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</si>
  <si>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</si>
  <si>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</si>
  <si>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</si>
  <si>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</si>
  <si>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</si>
  <si>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</si>
  <si>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</si>
  <si>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</si>
  <si>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</si>
  <si>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</si>
  <si>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</si>
  <si>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</si>
  <si>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</si>
  <si>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</si>
  <si>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</si>
  <si>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</si>
  <si>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</si>
  <si>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</si>
  <si>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</si>
  <si>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</si>
  <si>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</si>
  <si>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</si>
  <si>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</si>
  <si>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</si>
  <si>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</si>
  <si>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</si>
  <si>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</si>
  <si>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</si>
  <si>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</si>
  <si>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</si>
  <si>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</si>
  <si>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</si>
  <si>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</si>
  <si>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</si>
  <si>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</si>
  <si>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</si>
  <si>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</si>
  <si>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</si>
  <si>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</si>
  <si>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</si>
  <si>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</si>
  <si>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</si>
  <si>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</si>
  <si>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</si>
  <si>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</si>
  <si>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</si>
  <si>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</si>
  <si>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</si>
  <si>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</si>
  <si>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</si>
  <si>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</si>
  <si>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</si>
  <si>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</si>
  <si>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</si>
  <si>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</si>
  <si>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</si>
  <si>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</si>
  <si>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</si>
  <si>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</si>
  <si>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</si>
  <si>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</si>
  <si>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</si>
  <si>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</si>
  <si>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</si>
  <si>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</si>
  <si>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</si>
  <si>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</si>
  <si>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</si>
  <si>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</si>
  <si>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</si>
  <si>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</si>
  <si>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</si>
  <si>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</si>
  <si>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</si>
  <si>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</si>
  <si>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</si>
  <si>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</si>
  <si>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</si>
  <si>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</si>
  <si>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</si>
  <si>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</si>
  <si>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</si>
  <si>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</si>
  <si>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</si>
  <si>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</si>
  <si>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</si>
  <si>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</si>
  <si>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</si>
  <si>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</si>
  <si>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</si>
  <si>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</si>
  <si>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</si>
  <si>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</si>
  <si>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</si>
  <si>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</si>
  <si>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</si>
  <si>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</si>
  <si>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</si>
  <si>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</si>
  <si>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</si>
  <si>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</si>
  <si>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</si>
  <si>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</si>
  <si>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</si>
  <si>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</si>
  <si>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</si>
  <si>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</si>
  <si>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</si>
  <si>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</si>
  <si>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</si>
  <si>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</si>
  <si>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</si>
  <si>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</si>
  <si>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</si>
  <si>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</si>
  <si>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</si>
  <si>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</si>
  <si>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</si>
  <si>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</si>
  <si>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</si>
  <si>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</si>
  <si>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</si>
  <si>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</si>
  <si>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</si>
  <si>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</si>
  <si>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</si>
  <si>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</si>
  <si>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</si>
  <si>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</si>
  <si>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</si>
  <si>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</si>
  <si>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</si>
  <si>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</si>
  <si>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</si>
  <si>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</si>
  <si>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</si>
  <si>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</si>
  <si>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</si>
  <si>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</si>
  <si>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</si>
  <si>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</si>
  <si>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</si>
  <si>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</si>
  <si>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</si>
  <si>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</si>
  <si>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</si>
  <si>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</si>
  <si>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</si>
  <si>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</si>
  <si>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</si>
  <si>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</si>
  <si>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</si>
  <si>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</si>
  <si>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</si>
  <si>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</si>
  <si>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</si>
  <si>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</si>
  <si>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</si>
  <si>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</si>
  <si>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</si>
  <si>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</si>
  <si>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</si>
  <si>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</si>
  <si>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</si>
  <si>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</si>
  <si>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</si>
  <si>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</si>
  <si>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</si>
  <si>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</si>
  <si>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</si>
  <si>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</si>
  <si>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</si>
  <si>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</si>
  <si>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</si>
  <si>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</si>
  <si>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</si>
  <si>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</si>
  <si>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</si>
  <si>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</si>
  <si>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</si>
  <si>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</si>
  <si>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</si>
  <si>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</si>
  <si>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</si>
  <si>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</si>
  <si>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</si>
  <si>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</si>
  <si>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</si>
  <si>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</si>
  <si>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</si>
  <si>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</si>
  <si>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</si>
  <si>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</si>
  <si>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</si>
  <si>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</si>
  <si>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</si>
  <si>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</si>
  <si>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</si>
  <si>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</si>
  <si>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</si>
  <si>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</si>
  <si>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</si>
  <si>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</si>
  <si>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</si>
  <si>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</si>
  <si>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</si>
  <si>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</si>
  <si>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</si>
  <si>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</si>
  <si>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</si>
  <si>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</si>
  <si>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</si>
  <si>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</si>
  <si>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</si>
  <si>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</si>
  <si>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</si>
  <si>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</si>
  <si>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</si>
  <si>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</si>
  <si>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</si>
  <si>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</si>
  <si>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</si>
  <si>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</si>
  <si>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</si>
  <si>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</si>
  <si>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</si>
  <si>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</si>
  <si>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</si>
  <si>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</si>
  <si>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</si>
  <si>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</si>
  <si>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</si>
  <si>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</si>
  <si>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</si>
  <si>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</si>
  <si>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</si>
  <si>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</si>
  <si>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</si>
  <si>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</si>
  <si>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</si>
  <si>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</si>
  <si>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</si>
  <si>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</si>
  <si>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</si>
  <si>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</si>
  <si>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</si>
  <si>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</si>
  <si>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</si>
  <si>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</si>
  <si>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</si>
  <si>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</si>
  <si>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</si>
  <si>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</si>
  <si>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</si>
  <si>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</si>
  <si>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</si>
  <si>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</si>
  <si>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</si>
  <si>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</si>
  <si>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</si>
  <si>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</si>
  <si>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</si>
  <si>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</si>
  <si>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</si>
  <si>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</si>
  <si>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</si>
  <si>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</si>
  <si>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</si>
  <si>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</si>
  <si>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</si>
  <si>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</si>
  <si>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</si>
  <si>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</si>
  <si>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</si>
  <si>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</si>
  <si>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</si>
  <si>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</si>
  <si>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</si>
  <si>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</si>
  <si>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</si>
  <si>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</si>
  <si>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</si>
  <si>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</si>
  <si>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</si>
  <si>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</si>
  <si>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</si>
  <si>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</si>
  <si>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</si>
  <si>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</si>
  <si>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</si>
  <si>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</si>
  <si>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</si>
  <si>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</si>
  <si>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</si>
  <si>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</si>
  <si>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</si>
  <si>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</si>
  <si>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</si>
  <si>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</si>
  <si>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</si>
  <si>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</si>
  <si>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</si>
  <si>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</si>
  <si>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</si>
  <si>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</si>
  <si>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</si>
  <si>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</si>
  <si>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</si>
  <si>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</si>
  <si>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</si>
  <si>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</si>
  <si>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</si>
  <si>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</si>
  <si>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</si>
  <si>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</si>
  <si>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</si>
  <si>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</si>
  <si>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</si>
  <si>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</si>
  <si>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</si>
  <si>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</si>
  <si>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</si>
  <si>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</si>
  <si>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</si>
  <si>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</si>
  <si>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</si>
  <si>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</si>
  <si>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</si>
  <si>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</si>
  <si>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</si>
  <si>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</si>
  <si>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</si>
  <si>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</si>
  <si>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</si>
  <si>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</si>
  <si>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</si>
  <si>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</si>
  <si>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</si>
  <si>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</si>
  <si>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</si>
  <si>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</si>
  <si>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</si>
  <si>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</si>
  <si>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</si>
  <si>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</si>
  <si>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</si>
  <si>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</si>
  <si>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</si>
  <si>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</si>
  <si>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</si>
  <si>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</si>
  <si>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</si>
  <si>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</si>
  <si>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</si>
  <si>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</si>
  <si>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</si>
  <si>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</si>
  <si>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</si>
  <si>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</si>
  <si>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</si>
  <si>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</si>
  <si>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</si>
  <si>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</si>
  <si>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</si>
  <si>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</si>
  <si>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</si>
  <si>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</si>
  <si>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</si>
  <si>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</si>
  <si>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</si>
  <si>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</si>
  <si>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</si>
  <si>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</si>
  <si>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</si>
  <si>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</si>
  <si>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</si>
  <si>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</si>
  <si>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</si>
  <si>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</si>
  <si>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</si>
  <si>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</si>
  <si>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</si>
  <si>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</si>
  <si>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</si>
  <si>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</si>
  <si>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</si>
  <si>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</si>
  <si>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</si>
  <si>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</si>
  <si>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</si>
  <si>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</si>
  <si>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</si>
  <si>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</si>
  <si>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</si>
  <si>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</si>
  <si>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</si>
  <si>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</si>
  <si>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</si>
  <si>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</si>
  <si>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</si>
  <si>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</si>
  <si>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</si>
  <si>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</si>
  <si>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</si>
  <si>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</si>
  <si>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</si>
  <si>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</si>
  <si>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</si>
  <si>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</si>
  <si>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</si>
  <si>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</si>
  <si>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</si>
  <si>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</si>
  <si>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</si>
  <si>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</si>
  <si>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</si>
  <si>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</si>
  <si>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</si>
  <si>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</si>
  <si>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</si>
  <si>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</si>
  <si>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</si>
  <si>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</si>
  <si>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</si>
  <si>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</si>
  <si>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</si>
  <si>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</si>
  <si>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</si>
  <si>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</si>
  <si>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</si>
  <si>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</si>
  <si>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</si>
  <si>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</si>
  <si>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</si>
  <si>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</si>
  <si>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</si>
  <si>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</si>
  <si>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</si>
  <si>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</si>
  <si>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</si>
  <si>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</si>
  <si>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</si>
  <si>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</si>
  <si>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</si>
  <si>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</si>
  <si>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</si>
  <si>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</si>
  <si>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</si>
  <si>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</si>
  <si>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</si>
  <si>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</si>
  <si>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</si>
  <si>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</si>
  <si>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</si>
  <si>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</si>
  <si>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</si>
  <si>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</si>
  <si>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</si>
  <si>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</si>
  <si>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</si>
  <si>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</si>
  <si>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</si>
  <si>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</si>
  <si>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</si>
  <si>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</si>
  <si>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</si>
  <si>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</si>
  <si>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</si>
  <si>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</si>
  <si>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</si>
  <si>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</si>
  <si>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</si>
  <si>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</si>
  <si>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</si>
  <si>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</si>
  <si>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</si>
  <si>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</si>
  <si>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</si>
  <si>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</si>
  <si>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</si>
  <si>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</si>
  <si>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</si>
  <si>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</si>
  <si>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</si>
  <si>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</si>
  <si>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</si>
  <si>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</si>
  <si>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</si>
  <si>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</si>
  <si>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</si>
  <si>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</si>
  <si>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</si>
  <si>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</si>
  <si>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</si>
  <si>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</si>
  <si>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</si>
  <si>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</si>
  <si>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</si>
  <si>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</si>
  <si>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</si>
  <si>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</si>
  <si>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</si>
  <si>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</si>
  <si>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</si>
  <si>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</si>
  <si>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</si>
  <si>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</si>
  <si>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</si>
  <si>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</si>
  <si>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</si>
  <si>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</si>
  <si>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</si>
  <si>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</si>
  <si>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Corporation for Better Housing, a 501 (c)(3) non-profit</t>
  </si>
  <si>
    <t>S/W corner of Sandholm Avenue and Foothill Blvd</t>
  </si>
  <si>
    <t>1301 S. Foothill Blvd. (proposed address subject to change)</t>
  </si>
  <si>
    <t>Cloverdale</t>
  </si>
  <si>
    <t>117-360-004-000</t>
  </si>
  <si>
    <t>Secured by both Leasehold &amp; Fee Interests</t>
  </si>
  <si>
    <t>Single Family Home</t>
  </si>
  <si>
    <t>California Bank &amp; Trust</t>
  </si>
  <si>
    <t>40%/60% Average Income</t>
  </si>
  <si>
    <t>office supplies &amp; expenses</t>
  </si>
  <si>
    <t>Security</t>
  </si>
  <si>
    <t>Corporation for Better Housing</t>
  </si>
  <si>
    <t>Managing GP</t>
  </si>
  <si>
    <t xml:space="preserve">Los Angeles </t>
  </si>
  <si>
    <t>707 Wilshire Blvd; Suite 5700</t>
  </si>
  <si>
    <t>Mark Wolf</t>
  </si>
  <si>
    <t>310-407-6183</t>
  </si>
  <si>
    <t>SOFR</t>
  </si>
  <si>
    <t>TE Construction Loan</t>
  </si>
  <si>
    <t>TE Recycled Loan</t>
  </si>
  <si>
    <t>Taxable Construction Loan</t>
  </si>
  <si>
    <t>Permanent Loan</t>
  </si>
  <si>
    <t>Variable</t>
  </si>
  <si>
    <t>City of Cloverdale</t>
  </si>
  <si>
    <t>Kevin Thompson</t>
  </si>
  <si>
    <t>124 N Clovedale Blvd</t>
  </si>
  <si>
    <t>707-894-1710</t>
  </si>
  <si>
    <t>kthompson@ci.cloverdale.ca.us</t>
  </si>
  <si>
    <t>20750 Ventura Blvd., Suite 155</t>
  </si>
  <si>
    <t>Woodland Hills</t>
  </si>
  <si>
    <t>CA</t>
  </si>
  <si>
    <t>Lori Koester</t>
  </si>
  <si>
    <t>818-905-2430</t>
  </si>
  <si>
    <t>lkoester@corpoffices.org</t>
  </si>
  <si>
    <t>1741 Cheatham Avenue</t>
  </si>
  <si>
    <t>Justin Hardt</t>
  </si>
  <si>
    <t>818-674-8123</t>
  </si>
  <si>
    <t>jhardt@icdemail.com</t>
  </si>
  <si>
    <t>Consultant</t>
  </si>
  <si>
    <t>Woodland Hills, Ca 91364</t>
  </si>
  <si>
    <t>125,000 per annum (plus CPI increases)</t>
  </si>
  <si>
    <t>California Utility Allowance Calculator - VCA</t>
  </si>
  <si>
    <t>Recycled Bonds</t>
  </si>
  <si>
    <t>CMFA Reycled Bonds</t>
  </si>
  <si>
    <t>misc NSF, late chargers</t>
  </si>
  <si>
    <t>AC/DHW Heating</t>
  </si>
  <si>
    <t>BLH Construction Co.</t>
  </si>
  <si>
    <t>Bakersfield, CA 93307</t>
  </si>
  <si>
    <t>Brian Holland</t>
  </si>
  <si>
    <t>818-974-6672</t>
  </si>
  <si>
    <t>bholland@blhconstruction.net</t>
  </si>
  <si>
    <t>Bowman &amp; Company</t>
  </si>
  <si>
    <t>10100 trinity Parkway #310</t>
  </si>
  <si>
    <t>Stockton, CA 95219</t>
  </si>
  <si>
    <t>Nicole Schubert</t>
  </si>
  <si>
    <t>209-473-1040</t>
  </si>
  <si>
    <t>209-473-9771</t>
  </si>
  <si>
    <t>nschubert@cpabowman.com</t>
  </si>
  <si>
    <t>Red Stone Equity</t>
  </si>
  <si>
    <t>7130 Avenuda Encinas, Suite 201</t>
  </si>
  <si>
    <t>Carlsbad</t>
  </si>
  <si>
    <t>Matt Grosz</t>
  </si>
  <si>
    <t>858-752-2066</t>
  </si>
  <si>
    <t>matt.grosz@redstoneequity.com</t>
  </si>
  <si>
    <t>Novogradac &amp; Company, LLP</t>
  </si>
  <si>
    <t>6700 Antioch Road, Suite 450</t>
  </si>
  <si>
    <t>Merriam, KS 66204</t>
  </si>
  <si>
    <t>Rebecca S Arthur</t>
  </si>
  <si>
    <t>913-312-4615</t>
  </si>
  <si>
    <t>913-677-4601</t>
  </si>
  <si>
    <t>rebecca.arthur@novoco.vom</t>
  </si>
  <si>
    <t>CMFA</t>
  </si>
  <si>
    <t>2111 Palomar Airport Rd, Suite 320</t>
  </si>
  <si>
    <t>Carlsbad, CA 92011</t>
  </si>
  <si>
    <t>Ben Barker</t>
  </si>
  <si>
    <t>760-930-1266</t>
  </si>
  <si>
    <t>bbarker@cmfa-ca.com</t>
  </si>
  <si>
    <t>2499 W Shaw Avenue, Suite 103</t>
  </si>
  <si>
    <t>Fresno, CA 93711</t>
  </si>
  <si>
    <t>Oke Johnson</t>
  </si>
  <si>
    <t>WinnResidential California LP</t>
  </si>
  <si>
    <t>559-435-3433</t>
  </si>
  <si>
    <t>559-476-5238</t>
  </si>
  <si>
    <t>okejohnson@winncom.com</t>
  </si>
  <si>
    <t>Aliza White</t>
  </si>
  <si>
    <t>1845 W. Orangewood Ave, Suite 220</t>
  </si>
  <si>
    <t>Orange, CA 92868</t>
  </si>
  <si>
    <t>VCA Green</t>
  </si>
  <si>
    <t>714-787-1563</t>
  </si>
  <si>
    <t>awhite@vca-green.com</t>
  </si>
  <si>
    <t>YM Architects</t>
  </si>
  <si>
    <t>255 S. Santa Fe Ave, #103</t>
  </si>
  <si>
    <t>Los Angeles, CA 90012</t>
  </si>
  <si>
    <t>Ryan Yanagita</t>
  </si>
  <si>
    <t>213-623-2108</t>
  </si>
  <si>
    <t>ryanagita@ymarch.com</t>
  </si>
  <si>
    <t>HDR - High Density Residential</t>
  </si>
  <si>
    <t>PUD - Planned Unit Development - 16 DU / ACRE</t>
  </si>
  <si>
    <t>35 Feet</t>
  </si>
  <si>
    <t>2 per unit</t>
  </si>
  <si>
    <t>Baumgardner Ranch Homes</t>
  </si>
  <si>
    <t>Provided</t>
  </si>
  <si>
    <t>Not Applicable</t>
  </si>
  <si>
    <t>Summix, LLC</t>
  </si>
  <si>
    <t>5042 Wilshire Blvd #422</t>
  </si>
  <si>
    <t>Los Angeles, CA 90036</t>
  </si>
  <si>
    <t>Integrated Community Development, LLC</t>
  </si>
  <si>
    <t>The development will consist of 33 single family homes. Please note that the resident services/open space amenities will be located off-site approximately 385 ft to the east at Baumgardner Terrace Apartments.</t>
  </si>
  <si>
    <t>Corporation for Better Housing - DDF</t>
  </si>
  <si>
    <t>Tax Credity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</si>
</sst>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16" fillId="5" borderId="3" xfId="0" applyNumberFormat="1" applyFon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5" borderId="3" xfId="0" applyNumberFormat="1" applyFill="1" applyBorder="1" applyProtection="1">
      <protection locked="0"/>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16"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64" t="s">
        <v>2602</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2518</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654</v>
      </c>
      <c r="F40" s="1262" t="s">
        <v>1165</v>
      </c>
    </row>
    <row r="41" spans="1:38" s="1262"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35"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1259</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3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30" workbookViewId="0">
      <selection activeCell="G120" sqref="G120"/>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0" t="s">
        <v>1586</v>
      </c>
      <c r="B1" s="2660"/>
      <c r="C1" s="2660"/>
      <c r="D1" s="2660"/>
      <c r="E1" s="2660"/>
      <c r="F1" s="2660"/>
      <c r="G1" s="2660"/>
      <c r="H1" s="2660"/>
      <c r="I1" s="2660"/>
      <c r="J1" s="2660"/>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11339260</v>
      </c>
      <c r="I3" s="1105"/>
    </row>
    <row r="4" spans="1:13" s="1051" customFormat="1" ht="20.100000000000001" customHeight="1">
      <c r="B4" s="1094"/>
      <c r="D4" s="1108"/>
      <c r="F4" s="1092" t="s">
        <v>1992</v>
      </c>
      <c r="G4" s="1091" t="s">
        <v>1991</v>
      </c>
      <c r="H4" s="1093">
        <f>I18</f>
        <v>19969380.421568628</v>
      </c>
      <c r="I4" s="1095"/>
      <c r="K4" s="1055"/>
    </row>
    <row r="5" spans="1:13" s="1051" customFormat="1" ht="20.100000000000001" customHeight="1" thickBot="1">
      <c r="B5" s="1096"/>
      <c r="C5" s="1097"/>
      <c r="D5" s="1109"/>
      <c r="E5" s="1098"/>
      <c r="F5" s="1109" t="s">
        <v>1942</v>
      </c>
      <c r="G5" s="1110"/>
      <c r="H5" s="1106">
        <f>IFERROR(H3/H4,0)</f>
        <v>0.56783233934251842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1940</v>
      </c>
      <c r="C8" s="2664"/>
      <c r="D8" s="2664"/>
      <c r="E8" s="2665"/>
      <c r="G8" s="2666" t="s">
        <v>1941</v>
      </c>
      <c r="H8" s="2667"/>
      <c r="I8" s="2668"/>
      <c r="K8" s="1057"/>
    </row>
    <row r="9" spans="1:13" ht="15" customHeight="1">
      <c r="A9" s="1046"/>
      <c r="B9" s="2661" t="s">
        <v>1974</v>
      </c>
      <c r="C9" s="2661"/>
      <c r="D9" s="2661"/>
      <c r="E9" s="1059">
        <f>G33</f>
        <v>2112500</v>
      </c>
      <c r="G9" s="2669" t="s">
        <v>1972</v>
      </c>
      <c r="H9" s="2669"/>
      <c r="I9" s="1060">
        <f>SUMIF(Application!M554:M565,"Loan, Tax-Exempt",Application!AM554:AM565)</f>
        <v>7500000</v>
      </c>
      <c r="K9" s="1061"/>
      <c r="M9" s="1062"/>
    </row>
    <row r="10" spans="1:13" ht="15" customHeight="1" thickBot="1">
      <c r="A10" s="1046"/>
      <c r="B10" s="2661" t="s">
        <v>1975</v>
      </c>
      <c r="C10" s="2661"/>
      <c r="D10" s="2661"/>
      <c r="E10" s="1060">
        <f>G47</f>
        <v>8132760</v>
      </c>
      <c r="G10" s="2673" t="s">
        <v>1943</v>
      </c>
      <c r="H10" s="2673"/>
      <c r="I10" s="1140">
        <f>'Basis &amp; Credits'!AB78</f>
        <v>12936891</v>
      </c>
      <c r="M10" s="1062"/>
    </row>
    <row r="11" spans="1:13" ht="15" customHeight="1">
      <c r="A11" s="1046"/>
      <c r="B11" s="2677" t="s">
        <v>2263</v>
      </c>
      <c r="C11" s="2678"/>
      <c r="D11" s="2679"/>
      <c r="E11" s="1060">
        <f>SUM(E12,E13)</f>
        <v>80000</v>
      </c>
      <c r="G11" s="2676" t="s">
        <v>1983</v>
      </c>
      <c r="H11" s="2676"/>
      <c r="I11" s="1139">
        <f>I9+I10</f>
        <v>20436891</v>
      </c>
      <c r="M11" s="1062"/>
    </row>
    <row r="12" spans="1:13" ht="15" customHeight="1">
      <c r="A12" s="1063"/>
      <c r="B12" s="2662" t="s">
        <v>2265</v>
      </c>
      <c r="C12" s="2662"/>
      <c r="D12" s="2662"/>
      <c r="E12" s="1165">
        <f>G56</f>
        <v>0</v>
      </c>
      <c r="M12" s="1062"/>
    </row>
    <row r="13" spans="1:13" ht="15" customHeight="1">
      <c r="A13" s="1049"/>
      <c r="B13" s="2662" t="s">
        <v>2266</v>
      </c>
      <c r="C13" s="2662"/>
      <c r="D13" s="2662"/>
      <c r="E13" s="1165">
        <f>G65</f>
        <v>80000</v>
      </c>
      <c r="G13" s="2666" t="s">
        <v>2006</v>
      </c>
      <c r="H13" s="2667"/>
      <c r="I13" s="2668"/>
      <c r="M13" s="1062"/>
    </row>
    <row r="14" spans="1:13" ht="15" customHeight="1">
      <c r="A14" s="1049"/>
      <c r="B14" s="2677" t="s">
        <v>2264</v>
      </c>
      <c r="C14" s="2678"/>
      <c r="D14" s="2679"/>
      <c r="E14" s="1167">
        <f>MAX(E15,E16)+E17</f>
        <v>1014000</v>
      </c>
      <c r="G14" s="2669" t="s">
        <v>139</v>
      </c>
      <c r="H14" s="2669"/>
      <c r="I14" s="1064">
        <f>15%*(AND(G120="Yes",G122&lt;&gt;""))</f>
        <v>0</v>
      </c>
      <c r="M14" s="1062"/>
    </row>
    <row r="15" spans="1:13" ht="15" customHeight="1">
      <c r="A15" s="1049"/>
      <c r="B15" s="2680" t="s">
        <v>2270</v>
      </c>
      <c r="C15" s="2681"/>
      <c r="D15" s="2682"/>
      <c r="E15" s="1165">
        <f>G80</f>
        <v>0</v>
      </c>
      <c r="G15" s="1137" t="s">
        <v>1984</v>
      </c>
      <c r="H15" s="1137"/>
      <c r="I15" s="1064">
        <f>IF(Application!AJ1032&gt;0,10%,IF(Application!AJ1036&gt;0,5%,0))</f>
        <v>0</v>
      </c>
      <c r="M15" s="1062"/>
    </row>
    <row r="16" spans="1:13" ht="15" customHeight="1">
      <c r="A16" s="1049"/>
      <c r="B16" s="2680" t="s">
        <v>2269</v>
      </c>
      <c r="C16" s="2681"/>
      <c r="D16" s="2682"/>
      <c r="E16" s="1165">
        <f>G90</f>
        <v>0</v>
      </c>
      <c r="G16" s="2669" t="s">
        <v>1985</v>
      </c>
      <c r="H16" s="2669"/>
      <c r="I16" s="1064">
        <f>G132</f>
        <v>2.2875816993464051E-2</v>
      </c>
    </row>
    <row r="17" spans="1:21" ht="15" customHeight="1" thickBot="1">
      <c r="A17" s="1049"/>
      <c r="B17" s="2680" t="s">
        <v>2268</v>
      </c>
      <c r="C17" s="2681"/>
      <c r="D17" s="2682"/>
      <c r="E17" s="1165">
        <f>G115</f>
        <v>1014000</v>
      </c>
      <c r="G17" s="2669" t="s">
        <v>2278</v>
      </c>
      <c r="H17" s="2669"/>
      <c r="I17" s="1064">
        <f>IF(AND(G139="Yes",OR(G136,G137)),IF(G143&gt;15%,15%,G143),0)</f>
        <v>0</v>
      </c>
    </row>
    <row r="18" spans="1:21" ht="15" customHeight="1">
      <c r="A18" s="1046"/>
      <c r="B18" s="2672" t="s">
        <v>1939</v>
      </c>
      <c r="C18" s="2672"/>
      <c r="D18" s="2672"/>
      <c r="E18" s="1111">
        <f>SUM(E9:E11,E14)</f>
        <v>11339260</v>
      </c>
      <c r="G18" s="1138" t="s">
        <v>1973</v>
      </c>
      <c r="H18" s="1138"/>
      <c r="I18" s="1112">
        <f>I11-((I11*I14)+(I11*I15)+(I11*I16)+(I11*I17))</f>
        <v>19969380.421568628</v>
      </c>
      <c r="M18" s="1065">
        <f>SUM(Cdlac[Quantity])</f>
        <v>32</v>
      </c>
      <c r="O18" s="1084" t="s">
        <v>583</v>
      </c>
      <c r="P18" s="1044">
        <f>MATCH(Application!T189,Application!CB160:CB217,0)</f>
        <v>49</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3</v>
      </c>
      <c r="M20" s="1065">
        <f>Application!G718</f>
        <v>4</v>
      </c>
      <c r="N20" s="1071">
        <f>Application!AC718</f>
        <v>0.3</v>
      </c>
      <c r="O20" s="1071">
        <f>IF(Cdlac[[#This Row],[Quantity]]&gt;0,IF(Cdlac[[#This Row],[Federal]],30%,IF(AND(OR(NOT($G$38),$G$38=""),$G$43),40%,Cdlac[[#This Row],[iAMI]])),"")</f>
        <v>0.3</v>
      </c>
      <c r="P20" s="1065" cm="1">
        <f t="array" ref="P20">IF(Cdlac[[#This Row],[Quantity]]&gt;0,INDEX(TcacRents,$P$18,Cdlac[[#This Row],[Bedrooms]]+1)*Cdlac[[#This Row],[AMI]],"")</f>
        <v>1177.8</v>
      </c>
      <c r="Q20" s="1164"/>
      <c r="R20" s="1065" cm="1">
        <f t="array" ref="R20">IF(Cdlac[[#This Row],[Quantity]]&gt;0,INDEX(HudFmrs,$P$18,Cdlac[[#This Row],[Bedrooms]]+1),"")</f>
        <v>3743</v>
      </c>
      <c r="S20" s="1065">
        <f>IF(Cdlac[[#This Row],[Quantity]]&gt;0,MAX(0,Cdlac[[#This Row],[Fair Market Rent]]-IF(AND($G$37,$G$38,$G$38&lt;&gt;"",NOT(Cdlac[[#This Row],[Federal]]),Cdlac[[#This Row],[Preservation Rent]]&lt;&gt;""),Cdlac[[#This Row],[Preservation Rent]],Cdlac[[#This Row],[Restricted Rent]])),"")</f>
        <v>2565.1999999999998</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3</v>
      </c>
      <c r="M21" s="1065">
        <f>Application!G719</f>
        <v>4</v>
      </c>
      <c r="N21" s="1071">
        <f>Application!AC719</f>
        <v>0.5</v>
      </c>
      <c r="O21" s="1071">
        <f>IF(Cdlac[[#This Row],[Quantity]]&gt;0,IF(Cdlac[[#This Row],[Federal]],30%,IF(AND(OR(NOT($G$38),$G$38=""),$G$43),40%,Cdlac[[#This Row],[iAMI]])),"")</f>
        <v>0.5</v>
      </c>
      <c r="P21" s="1065" cm="1">
        <f t="array" ref="P21">IF(Cdlac[[#This Row],[Quantity]]&gt;0,INDEX(TcacRents,$P$18,Cdlac[[#This Row],[Bedrooms]]+1)*Cdlac[[#This Row],[AMI]],"")</f>
        <v>1963</v>
      </c>
      <c r="Q21" s="1164"/>
      <c r="R21" s="1065" cm="1">
        <f t="array" ref="R21">IF(Cdlac[[#This Row],[Quantity]]&gt;0,INDEX(HudFmrs,$P$18,Cdlac[[#This Row],[Bedrooms]]+1),"")</f>
        <v>3743</v>
      </c>
      <c r="S21" s="1065">
        <f>IF(Cdlac[[#This Row],[Quantity]]&gt;0,MAX(0,Cdlac[[#This Row],[Fair Market Rent]]-IF(AND($G$37,$G$38,$G$38&lt;&gt;"",NOT(Cdlac[[#This Row],[Federal]]),Cdlac[[#This Row],[Preservation Rent]]&lt;&gt;""),Cdlac[[#This Row],[Preservation Rent]],Cdlac[[#This Row],[Restricted Rent]])),"")</f>
        <v>1780</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70" t="s">
        <v>1987</v>
      </c>
      <c r="D22" s="2670" t="s">
        <v>1988</v>
      </c>
      <c r="E22" s="2670" t="s">
        <v>1989</v>
      </c>
      <c r="F22" s="2670" t="s">
        <v>2609</v>
      </c>
      <c r="G22" s="2670" t="s">
        <v>1986</v>
      </c>
      <c r="H22" s="1070"/>
      <c r="I22" s="1069"/>
      <c r="L22" s="1044">
        <f>IFERROR(MIN(4,MATCH(Application!B720,UnitSizes,0)-1),"")</f>
        <v>3</v>
      </c>
      <c r="M22" s="1065">
        <f>Application!G720</f>
        <v>10</v>
      </c>
      <c r="N22" s="1071">
        <f>Application!AC720</f>
        <v>0.6</v>
      </c>
      <c r="O22" s="1071">
        <f>IF(Cdlac[[#This Row],[Quantity]]&gt;0,IF(Cdlac[[#This Row],[Federal]],30%,IF(AND(OR(NOT($G$38),$G$38=""),$G$43),40%,Cdlac[[#This Row],[iAMI]])),"")</f>
        <v>0.6</v>
      </c>
      <c r="P22" s="1065" cm="1">
        <f t="array" ref="P22">IF(Cdlac[[#This Row],[Quantity]]&gt;0,INDEX(TcacRents,$P$18,Cdlac[[#This Row],[Bedrooms]]+1)*Cdlac[[#This Row],[AMI]],"")</f>
        <v>2355.6</v>
      </c>
      <c r="Q22" s="1164"/>
      <c r="R22" s="1065" cm="1">
        <f t="array" ref="R22">IF(Cdlac[[#This Row],[Quantity]]&gt;0,INDEX(HudFmrs,$P$18,Cdlac[[#This Row],[Bedrooms]]+1),"")</f>
        <v>3743</v>
      </c>
      <c r="S22" s="1065">
        <f>IF(Cdlac[[#This Row],[Quantity]]&gt;0,MAX(0,Cdlac[[#This Row],[Fair Market Rent]]-IF(AND($G$37,$G$38,$G$38&lt;&gt;"",NOT(Cdlac[[#This Row],[Federal]]),Cdlac[[#This Row],[Preservation Rent]]&lt;&gt;""),Cdlac[[#This Row],[Preservation Rent]],Cdlac[[#This Row],[Restricted Rent]])),"")</f>
        <v>1387.4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71"/>
      <c r="D23" s="2671"/>
      <c r="E23" s="2671"/>
      <c r="F23" s="2671"/>
      <c r="G23" s="2671"/>
      <c r="H23" s="1070"/>
      <c r="I23" s="1069"/>
      <c r="L23" s="1044">
        <f>IFERROR(MIN(4,MATCH(Application!B721,UnitSizes,0)-1),"")</f>
        <v>3</v>
      </c>
      <c r="M23" s="1065">
        <f>Application!G721</f>
        <v>14</v>
      </c>
      <c r="N23" s="1071">
        <f>Application!AC721</f>
        <v>0.7</v>
      </c>
      <c r="O23" s="1071">
        <f>IF(Cdlac[[#This Row],[Quantity]]&gt;0,IF(Cdlac[[#This Row],[Federal]],30%,IF(AND(OR(NOT($G$38),$G$38=""),$G$43),40%,Cdlac[[#This Row],[iAMI]])),"")</f>
        <v>0.7</v>
      </c>
      <c r="P23" s="1065" cm="1">
        <f t="array" ref="P23">IF(Cdlac[[#This Row],[Quantity]]&gt;0,INDEX(TcacRents,$P$18,Cdlac[[#This Row],[Bedrooms]]+1)*Cdlac[[#This Row],[AMI]],"")</f>
        <v>2748.2</v>
      </c>
      <c r="Q23" s="1164"/>
      <c r="R23" s="1065" cm="1">
        <f t="array" ref="R23">IF(Cdlac[[#This Row],[Quantity]]&gt;0,INDEX(HudFmrs,$P$18,Cdlac[[#This Row],[Bedrooms]]+1),"")</f>
        <v>3743</v>
      </c>
      <c r="S23" s="1065">
        <f>IF(Cdlac[[#This Row],[Quantity]]&gt;0,MAX(0,Cdlac[[#This Row],[Fair Market Rent]]-IF(AND($G$37,$G$38,$G$38&lt;&gt;"",NOT(Cdlac[[#This Row],[Federal]]),Cdlac[[#This Row],[Preservation Rent]]&lt;&gt;""),Cdlac[[#This Row],[Preservation Rent]],Cdlac[[#This Row],[Restricted Rent]])),"")</f>
        <v>994.80000000000018</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23</v>
      </c>
      <c r="G26" s="1072">
        <f>D26*F26</f>
        <v>28.75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32</v>
      </c>
      <c r="F27" s="1075">
        <f>MIN(E27,ROUNDDOWN(E29*30%,0))</f>
        <v>9</v>
      </c>
      <c r="G27" s="1072">
        <f>D27*F27</f>
        <v>13.5</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4" t="s">
        <v>1587</v>
      </c>
      <c r="D29" s="2685"/>
      <c r="E29" s="1089">
        <f>SUM(E24:E28)</f>
        <v>32</v>
      </c>
      <c r="F29" s="1089">
        <f>SUM(F24:F28)</f>
        <v>32</v>
      </c>
      <c r="G29" s="1090">
        <f>SUMPRODUCT(D24:D28,F24:F28)</f>
        <v>42.25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42.25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2112500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0.59375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45182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8132760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16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4</v>
      </c>
    </row>
    <row r="61" spans="2:21" ht="15" customHeight="1">
      <c r="E61" s="1117" t="s">
        <v>1995</v>
      </c>
      <c r="G61" s="1079">
        <f>ROUNDDOWN(E29*50%,0)</f>
        <v>16</v>
      </c>
    </row>
    <row r="62" spans="2:21" ht="15" customHeight="1">
      <c r="E62" s="1117"/>
      <c r="G62" s="1079"/>
    </row>
    <row r="63" spans="2:21" ht="15" customHeight="1">
      <c r="E63" s="1117" t="s">
        <v>1955</v>
      </c>
      <c r="G63" s="1114">
        <f>MIN(G60:G61)</f>
        <v>4</v>
      </c>
    </row>
    <row r="64" spans="2:21" ht="15" customHeight="1">
      <c r="E64" s="1117" t="s">
        <v>1945</v>
      </c>
      <c r="F64" s="1113" t="s">
        <v>1993</v>
      </c>
      <c r="G64" s="1124">
        <v>20000</v>
      </c>
    </row>
    <row r="65" spans="2:14" ht="15" customHeight="1">
      <c r="E65" s="1118" t="s">
        <v>1977</v>
      </c>
      <c r="F65" s="1046"/>
      <c r="G65" s="1123">
        <f>G63*G64</f>
        <v>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Yes</v>
      </c>
    </row>
    <row r="71" spans="2:14" ht="15" customHeight="1" thickBot="1">
      <c r="C71" s="1077" t="s">
        <v>1968</v>
      </c>
      <c r="G71" s="1043"/>
    </row>
    <row r="72" spans="2:14" ht="15" customHeight="1">
      <c r="C72" s="1077" t="s">
        <v>1969</v>
      </c>
      <c r="G72" s="1044" t="str">
        <f>Application!T193</f>
        <v>Low Resource</v>
      </c>
      <c r="L72" s="2657" t="s">
        <v>1970</v>
      </c>
      <c r="M72" s="2658"/>
      <c r="N72" s="1131">
        <v>30000</v>
      </c>
    </row>
    <row r="73" spans="2:14" ht="15" customHeight="1">
      <c r="C73" s="2659" t="s">
        <v>2262</v>
      </c>
      <c r="D73" s="2659"/>
      <c r="E73" s="2659"/>
      <c r="F73" s="2659"/>
      <c r="G73" s="1043"/>
      <c r="L73" s="2674" t="s">
        <v>1938</v>
      </c>
      <c r="M73" s="2675"/>
      <c r="N73" s="1132">
        <v>20000</v>
      </c>
    </row>
    <row r="74" spans="2:14" ht="15" customHeight="1" thickBot="1">
      <c r="C74" s="2659"/>
      <c r="D74" s="2659"/>
      <c r="E74" s="2659"/>
      <c r="F74" s="2659"/>
      <c r="L74" s="2649" t="s">
        <v>1971</v>
      </c>
      <c r="M74" s="2650"/>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42.25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42.25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4</v>
      </c>
    </row>
    <row r="95" spans="2:9" ht="15" customHeight="1">
      <c r="E95" s="1084" t="s">
        <v>1945</v>
      </c>
      <c r="F95" s="1113" t="s">
        <v>1993</v>
      </c>
      <c r="G95" s="1076">
        <v>4000</v>
      </c>
    </row>
    <row r="96" spans="2:9" ht="15" customHeight="1" thickBot="1">
      <c r="E96" s="1084" t="s">
        <v>1997</v>
      </c>
      <c r="F96" s="1113" t="s">
        <v>1993</v>
      </c>
      <c r="G96" s="1126">
        <f>G29</f>
        <v>42.25</v>
      </c>
    </row>
    <row r="97" spans="2:14" ht="15" customHeight="1">
      <c r="E97" s="1118" t="s">
        <v>1962</v>
      </c>
      <c r="F97" s="1046"/>
      <c r="G97" s="1123">
        <f>G94*G95*G96</f>
        <v>676000</v>
      </c>
      <c r="L97" s="1127" t="str">
        <f>'Points System'!H638</f>
        <v>(i)</v>
      </c>
      <c r="M97" s="2655" t="s">
        <v>1406</v>
      </c>
      <c r="N97" s="2656"/>
    </row>
    <row r="98" spans="2:14" ht="15" customHeight="1">
      <c r="C98" s="1077"/>
      <c r="G98" s="1114"/>
      <c r="L98" s="1128" t="str">
        <f>'Points System'!H650</f>
        <v>N/A</v>
      </c>
      <c r="M98" s="2651" t="s">
        <v>1957</v>
      </c>
      <c r="N98" s="2652"/>
    </row>
    <row r="99" spans="2:14" ht="15" customHeight="1">
      <c r="E99" s="1084" t="s">
        <v>1998</v>
      </c>
      <c r="G99" s="1126">
        <f>COUNTIFS(L97:L104,"(i)")</f>
        <v>2</v>
      </c>
      <c r="L99" s="1128" t="str">
        <f>'Points System'!H685</f>
        <v>(i)</v>
      </c>
      <c r="M99" s="2651" t="s">
        <v>1958</v>
      </c>
      <c r="N99" s="2652"/>
    </row>
    <row r="100" spans="2:14" ht="15" customHeight="1">
      <c r="E100" s="1084" t="s">
        <v>1945</v>
      </c>
      <c r="F100" s="1113" t="s">
        <v>1993</v>
      </c>
      <c r="G100" s="1124">
        <v>4000</v>
      </c>
      <c r="L100" s="1128" t="str">
        <f>IF(OR('Points System'!H709="(ii)",'Points System'!H709="(i)"),"(i)","N/A")</f>
        <v>N/A</v>
      </c>
      <c r="M100" s="2651" t="s">
        <v>1959</v>
      </c>
      <c r="N100" s="2652"/>
    </row>
    <row r="101" spans="2:14" ht="15" customHeight="1">
      <c r="E101" s="1118" t="s">
        <v>1963</v>
      </c>
      <c r="F101" s="1046"/>
      <c r="G101" s="1123">
        <f>G96*G99*G100</f>
        <v>338000</v>
      </c>
      <c r="L101" s="1129" t="str">
        <f>'Points System'!H723</f>
        <v>N/A</v>
      </c>
      <c r="M101" s="2651" t="s">
        <v>1432</v>
      </c>
      <c r="N101" s="2652"/>
    </row>
    <row r="102" spans="2:14" ht="15" customHeight="1">
      <c r="L102" s="1128" t="str">
        <f>'Points System'!H735</f>
        <v>N/A</v>
      </c>
      <c r="M102" s="2651" t="s">
        <v>1960</v>
      </c>
      <c r="N102" s="2652"/>
    </row>
    <row r="103" spans="2:14" ht="15" customHeight="1">
      <c r="C103" s="1080" t="s">
        <v>1965</v>
      </c>
      <c r="L103" s="1128" t="str">
        <f>'Points System'!H751</f>
        <v>(ii)</v>
      </c>
      <c r="M103" s="2651" t="s">
        <v>1961</v>
      </c>
      <c r="N103" s="2652"/>
    </row>
    <row r="104" spans="2:14" ht="15" customHeight="1" thickBot="1">
      <c r="C104" s="1077" t="s">
        <v>1966</v>
      </c>
      <c r="G104" s="1043"/>
      <c r="L104" s="1130" t="str">
        <f>'Points System'!H763</f>
        <v>(ii)</v>
      </c>
      <c r="M104" s="2653" t="s">
        <v>1435</v>
      </c>
      <c r="N104" s="2654"/>
    </row>
    <row r="105" spans="2:14" ht="15" customHeight="1">
      <c r="C105" s="1077" t="s">
        <v>1967</v>
      </c>
      <c r="G105" s="1043"/>
    </row>
    <row r="106" spans="2:14" ht="15" customHeight="1">
      <c r="C106" s="1077" t="s">
        <v>2140</v>
      </c>
      <c r="G106" s="1043"/>
    </row>
    <row r="107" spans="2:14" ht="15" customHeight="1">
      <c r="C107" s="1077" t="s">
        <v>2141</v>
      </c>
      <c r="G107" s="1043"/>
    </row>
    <row r="108" spans="2:14" ht="15" customHeight="1"/>
    <row r="109" spans="2:14" ht="15" customHeight="1">
      <c r="B109" s="1078"/>
      <c r="C109" s="1077"/>
      <c r="E109" s="1084" t="s">
        <v>2000</v>
      </c>
      <c r="G109" s="1079" t="b">
        <f>COUNTIFS(G104:G107,"Yes")&gt;=1</f>
        <v>0</v>
      </c>
    </row>
    <row r="110" spans="2:14" ht="15" customHeight="1">
      <c r="E110" s="1077"/>
    </row>
    <row r="111" spans="2:14" ht="15" customHeight="1">
      <c r="E111" s="1084" t="s">
        <v>1997</v>
      </c>
      <c r="F111" s="1113" t="s">
        <v>1993</v>
      </c>
      <c r="G111" s="1114">
        <f>G29</f>
        <v>42.25</v>
      </c>
    </row>
    <row r="112" spans="2:14" ht="15" customHeight="1">
      <c r="E112" s="1084" t="s">
        <v>1945</v>
      </c>
      <c r="F112" s="1113" t="s">
        <v>1993</v>
      </c>
      <c r="G112" s="1124">
        <v>25000</v>
      </c>
    </row>
    <row r="113" spans="2:9" ht="15" customHeight="1">
      <c r="E113" s="1118" t="s">
        <v>1964</v>
      </c>
      <c r="F113" s="1046"/>
      <c r="G113" s="1123">
        <f>G109*G112*G96</f>
        <v>0</v>
      </c>
    </row>
    <row r="114" spans="2:9" ht="15" customHeight="1">
      <c r="C114" s="1077"/>
      <c r="E114" s="1077"/>
    </row>
    <row r="115" spans="2:9" ht="15" customHeight="1">
      <c r="E115" s="1118" t="s">
        <v>2272</v>
      </c>
      <c r="G115" s="1123">
        <f>G113+G101+G97</f>
        <v>1014000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2227</v>
      </c>
      <c r="D119" s="2686"/>
      <c r="E119" s="2686"/>
      <c r="F119" s="2686"/>
    </row>
    <row r="120" spans="2:9" ht="15" customHeight="1">
      <c r="C120" s="2686"/>
      <c r="D120" s="2686"/>
      <c r="E120" s="2686"/>
      <c r="F120" s="2686"/>
      <c r="G120" s="1043"/>
    </row>
    <row r="121" spans="2:9" ht="15" customHeight="1"/>
    <row r="122" spans="2:9" ht="15" customHeight="1">
      <c r="C122" s="1044" t="s">
        <v>2229</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Sonoma</v>
      </c>
    </row>
    <row r="129" spans="2:9">
      <c r="E129" s="1084"/>
      <c r="G129" s="1078"/>
    </row>
    <row r="130" spans="2:9">
      <c r="E130" s="1084" t="str">
        <f>"2-Bedroom "&amp;G128&amp;" County Basis Limit"</f>
        <v>2-Bedroom Sonoma County Basis Limit</v>
      </c>
      <c r="G130" s="1078">
        <f>Application!R988</f>
        <v>534400</v>
      </c>
    </row>
    <row r="131" spans="2:9">
      <c r="E131" s="1084" t="s">
        <v>2001</v>
      </c>
      <c r="G131" s="1078">
        <f>MEDIAN((Application!CU160:CU217))</f>
        <v>489600</v>
      </c>
    </row>
    <row r="132" spans="2:9" ht="15">
      <c r="D132" s="1046"/>
      <c r="E132" s="1118" t="s">
        <v>2003</v>
      </c>
      <c r="F132" s="1134"/>
      <c r="G132" s="1135">
        <f>((G130-G131)/G131)*0.25</f>
        <v>2.2875816993464051E-2</v>
      </c>
      <c r="H132" s="1042"/>
      <c r="I132" s="1042"/>
    </row>
    <row r="133" spans="2:9">
      <c r="D133" s="1045"/>
      <c r="E133" s="1045"/>
    </row>
    <row r="134" spans="2:9" ht="15">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83" t="s">
        <v>2275</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1125000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910</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3 Bedrooms</v>
      </c>
      <c r="B4" s="1082">
        <f>Application!G718</f>
        <v>4</v>
      </c>
      <c r="C4" s="1162"/>
      <c r="D4" s="428">
        <f>Application!O718</f>
        <v>1158</v>
      </c>
      <c r="E4" s="429"/>
      <c r="F4" s="1083"/>
      <c r="G4" s="428">
        <f>F4*B4</f>
        <v>0</v>
      </c>
      <c r="H4" s="429"/>
      <c r="I4" s="428" t="str">
        <f t="shared" ref="I4:I27" si="0">IF(F4=0,"",(F4-D4))</f>
        <v/>
      </c>
      <c r="J4" s="428" t="str">
        <f t="shared" ref="J4:J27" si="1">IF(F4=0,"",(I4*B4))</f>
        <v/>
      </c>
      <c r="K4" s="204"/>
      <c r="L4" s="305"/>
    </row>
    <row r="5" spans="1:12">
      <c r="A5" s="428" t="str">
        <f>Application!B719</f>
        <v>3 Bedrooms</v>
      </c>
      <c r="B5" s="1082">
        <f>Application!G719</f>
        <v>4</v>
      </c>
      <c r="C5" s="1162"/>
      <c r="D5" s="428">
        <f>Application!O719</f>
        <v>1944</v>
      </c>
      <c r="E5" s="429"/>
      <c r="F5" s="1083"/>
      <c r="G5" s="428">
        <f t="shared" ref="G5:G38" si="2">F5*B5</f>
        <v>0</v>
      </c>
      <c r="H5" s="429"/>
      <c r="I5" s="428" t="str">
        <f t="shared" si="0"/>
        <v/>
      </c>
      <c r="J5" s="428" t="str">
        <f t="shared" si="1"/>
        <v/>
      </c>
      <c r="K5" s="204"/>
      <c r="L5" s="305"/>
    </row>
    <row r="6" spans="1:12">
      <c r="A6" s="428" t="str">
        <f>Application!B720</f>
        <v>3 Bedrooms</v>
      </c>
      <c r="B6" s="1082">
        <f>Application!G720</f>
        <v>10</v>
      </c>
      <c r="C6" s="1162"/>
      <c r="D6" s="428">
        <f>Application!O720</f>
        <v>2337</v>
      </c>
      <c r="E6" s="429"/>
      <c r="F6" s="1083"/>
      <c r="G6" s="428">
        <f t="shared" si="2"/>
        <v>0</v>
      </c>
      <c r="H6" s="429"/>
      <c r="I6" s="428" t="str">
        <f t="shared" si="0"/>
        <v/>
      </c>
      <c r="J6" s="428" t="str">
        <f t="shared" si="1"/>
        <v/>
      </c>
      <c r="K6" s="204"/>
      <c r="L6" s="305"/>
    </row>
    <row r="7" spans="1:12">
      <c r="A7" s="428" t="str">
        <f>Application!B721</f>
        <v>3 Bedrooms</v>
      </c>
      <c r="B7" s="1082">
        <f>Application!G721</f>
        <v>14</v>
      </c>
      <c r="C7" s="1162"/>
      <c r="D7" s="428">
        <f>Application!O721</f>
        <v>2610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72318</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2257</v>
      </c>
    </row>
    <row r="43" spans="1:12">
      <c r="A43" s="2691" t="s">
        <v>2496</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2258</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7" workbookViewId="0">
      <selection activeCell="E24" sqref="E24:AG24"/>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867816</v>
      </c>
      <c r="G4" s="219">
        <f>E4*$C$4</f>
        <v>889511.39999999991</v>
      </c>
      <c r="I4" s="219">
        <f>G4*$C$4</f>
        <v>911749.18499999982</v>
      </c>
      <c r="K4" s="219">
        <f>I4*$C$4</f>
        <v>934542.91462499974</v>
      </c>
      <c r="M4" s="219">
        <f>K4*$C$4</f>
        <v>957906.48749062466</v>
      </c>
      <c r="O4" s="219">
        <f>M4*$C$4</f>
        <v>981854.14967789024</v>
      </c>
      <c r="Q4" s="219">
        <f>O4*$C$4</f>
        <v>1006400.5034198374</v>
      </c>
      <c r="S4" s="219">
        <f>Q4*$C$4</f>
        <v>1031560.5160053333</v>
      </c>
      <c r="U4" s="219">
        <f>S4*$C$4</f>
        <v>1057349.5289054664</v>
      </c>
      <c r="W4" s="219">
        <f>U4*$C$4</f>
        <v>1083783.2671281029</v>
      </c>
      <c r="Y4" s="219">
        <f>W4*$C$4</f>
        <v>1110877.8488063053</v>
      </c>
      <c r="AA4" s="219">
        <f>Y4*$C$4</f>
        <v>1138649.7950264628</v>
      </c>
      <c r="AC4" s="219">
        <f>AA4*$C$4</f>
        <v>1167116.0399021243</v>
      </c>
      <c r="AE4" s="219">
        <f>AC4*$C$4</f>
        <v>1196293.9408996773</v>
      </c>
      <c r="AG4" s="219">
        <f>AE4*$C$4</f>
        <v>1226201.2894221691</v>
      </c>
    </row>
    <row r="5" spans="1:34" s="210" customFormat="1" ht="14.25">
      <c r="B5" s="210" t="s">
        <v>839</v>
      </c>
      <c r="C5" s="238">
        <f>IF(Application!$D$211="Special Needs",(((0.1*Application!$T$212)+(0.05*(1-Application!$T$212)))),0.05)</f>
        <v>0.05</v>
      </c>
      <c r="E5" s="221">
        <f>-E4*$C$5</f>
        <v>-43390.8</v>
      </c>
      <c r="F5" s="221"/>
      <c r="G5" s="221">
        <f>-G4*$C$5</f>
        <v>-44475.57</v>
      </c>
      <c r="H5" s="221"/>
      <c r="I5" s="221">
        <f>-I4*$C$5</f>
        <v>-45587.459249999993</v>
      </c>
      <c r="J5" s="221"/>
      <c r="K5" s="221">
        <f>-K4*$C$5</f>
        <v>-46727.145731249992</v>
      </c>
      <c r="L5" s="221"/>
      <c r="M5" s="221">
        <f>-M4*$C$5</f>
        <v>-47895.324374531236</v>
      </c>
      <c r="N5" s="221"/>
      <c r="O5" s="221">
        <f>-O4*$C$5</f>
        <v>-49092.707483894512</v>
      </c>
      <c r="P5" s="221"/>
      <c r="Q5" s="221">
        <f>-Q4*$C$5</f>
        <v>-50320.025170991874</v>
      </c>
      <c r="R5" s="221"/>
      <c r="S5" s="221">
        <f>-S4*$C$5</f>
        <v>-51578.025800266667</v>
      </c>
      <c r="T5" s="221"/>
      <c r="U5" s="221">
        <f>-U4*$C$5</f>
        <v>-52867.476445273322</v>
      </c>
      <c r="V5" s="221"/>
      <c r="W5" s="221">
        <f>-W4*$C$5</f>
        <v>-54189.163356405152</v>
      </c>
      <c r="X5" s="221"/>
      <c r="Y5" s="221">
        <f>-Y4*$C$5</f>
        <v>-55543.892440315271</v>
      </c>
      <c r="Z5" s="221"/>
      <c r="AA5" s="221">
        <f>-AA4*$C$5</f>
        <v>-56932.489751323141</v>
      </c>
      <c r="AB5" s="221"/>
      <c r="AC5" s="221">
        <f>-AC4*$C$5</f>
        <v>-58355.801995106216</v>
      </c>
      <c r="AD5" s="221"/>
      <c r="AE5" s="221">
        <f>-AE4*$C$5</f>
        <v>-59814.69704498387</v>
      </c>
      <c r="AF5" s="221"/>
      <c r="AG5" s="221">
        <f>-AG4*$C$5</f>
        <v>-61310.064471108461</v>
      </c>
    </row>
    <row r="6" spans="1:34" s="210" customFormat="1" ht="14.25">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3480</v>
      </c>
      <c r="F8" s="222"/>
      <c r="G8" s="222">
        <f>E8*$C$8</f>
        <v>3566.9999999999995</v>
      </c>
      <c r="H8" s="222"/>
      <c r="I8" s="222">
        <f>G8*$C$8</f>
        <v>3656.1749999999993</v>
      </c>
      <c r="J8" s="222"/>
      <c r="K8" s="222">
        <f>I8*$C$8</f>
        <v>3747.5793749999989</v>
      </c>
      <c r="L8" s="222"/>
      <c r="M8" s="222">
        <f>K8*$C$8</f>
        <v>3841.2688593749986</v>
      </c>
      <c r="N8" s="222"/>
      <c r="O8" s="222">
        <f>M8*$C$8</f>
        <v>3937.300580859373</v>
      </c>
      <c r="P8" s="222"/>
      <c r="Q8" s="222">
        <f>O8*$C$8</f>
        <v>4035.7330953808569</v>
      </c>
      <c r="R8" s="222"/>
      <c r="S8" s="222">
        <f>Q8*$C$8</f>
        <v>4136.6264227653783</v>
      </c>
      <c r="T8" s="222"/>
      <c r="U8" s="222">
        <f>S8*$C$8</f>
        <v>4240.0420833345124</v>
      </c>
      <c r="V8" s="222"/>
      <c r="W8" s="222">
        <f>U8*$C$8</f>
        <v>4346.0431354178745</v>
      </c>
      <c r="X8" s="222"/>
      <c r="Y8" s="222">
        <f>W8*$C$8</f>
        <v>4454.694213803321</v>
      </c>
      <c r="Z8" s="222"/>
      <c r="AA8" s="222">
        <f>Y8*$C$8</f>
        <v>4566.0615691484036</v>
      </c>
      <c r="AB8" s="222"/>
      <c r="AC8" s="222">
        <f>AA8*$C$8</f>
        <v>4680.2131083771137</v>
      </c>
      <c r="AD8" s="222"/>
      <c r="AE8" s="222">
        <f>AC8*$C$8</f>
        <v>4797.2184360865413</v>
      </c>
      <c r="AF8" s="222"/>
      <c r="AG8" s="222">
        <f>AE8*$C$8</f>
        <v>4917.1488969887041</v>
      </c>
    </row>
    <row r="9" spans="1:34" s="210" customFormat="1" ht="14.25">
      <c r="B9" s="210" t="s">
        <v>839</v>
      </c>
      <c r="C9" s="238">
        <f>IF(Application!$D$211="Special Needs",(((0.1*Application!$T$212)+(0.05*(1-Application!$T$212)))),0.05)</f>
        <v>0.05</v>
      </c>
      <c r="E9" s="221">
        <f>-E8*$C$9</f>
        <v>-174</v>
      </c>
      <c r="F9" s="221"/>
      <c r="G9" s="221">
        <f>-G8*$C$9</f>
        <v>-178.35</v>
      </c>
      <c r="H9" s="221"/>
      <c r="I9" s="221">
        <f>-I8*$C$9</f>
        <v>-182.80874999999997</v>
      </c>
      <c r="J9" s="221"/>
      <c r="K9" s="221">
        <f>-K8*$C$9</f>
        <v>-187.37896874999996</v>
      </c>
      <c r="L9" s="221"/>
      <c r="M9" s="221">
        <f>-M8*$C$9</f>
        <v>-192.06344296874994</v>
      </c>
      <c r="N9" s="221"/>
      <c r="O9" s="221">
        <f>-O8*$C$9</f>
        <v>-196.86502904296867</v>
      </c>
      <c r="P9" s="221"/>
      <c r="Q9" s="221">
        <f>-Q8*$C$9</f>
        <v>-201.78665476904285</v>
      </c>
      <c r="R9" s="221"/>
      <c r="S9" s="221">
        <f>-S8*$C$9</f>
        <v>-206.83132113826892</v>
      </c>
      <c r="T9" s="221"/>
      <c r="U9" s="221">
        <f>-U8*$C$9</f>
        <v>-212.00210416672564</v>
      </c>
      <c r="V9" s="221"/>
      <c r="W9" s="221">
        <f>-W8*$C$9</f>
        <v>-217.30215677089373</v>
      </c>
      <c r="X9" s="221"/>
      <c r="Y9" s="221">
        <f>-Y8*$C$9</f>
        <v>-222.73471069016605</v>
      </c>
      <c r="Z9" s="221"/>
      <c r="AA9" s="221">
        <f>-AA8*$C$9</f>
        <v>-228.30307845742018</v>
      </c>
      <c r="AB9" s="221"/>
      <c r="AC9" s="221">
        <f>-AC8*$C$9</f>
        <v>-234.01065541885569</v>
      </c>
      <c r="AD9" s="221"/>
      <c r="AE9" s="221">
        <f>-AE8*$C$9</f>
        <v>-239.86092180432706</v>
      </c>
      <c r="AF9" s="221"/>
      <c r="AG9" s="221">
        <f>-AG8*$C$9</f>
        <v>-245.85744484943521</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827731.2</v>
      </c>
      <c r="G11" s="223">
        <f>SUM(G4:G10)</f>
        <v>848424.48</v>
      </c>
      <c r="I11" s="223">
        <f>SUM(I4:I10)</f>
        <v>869635.09199999995</v>
      </c>
      <c r="K11" s="223">
        <f>SUM(K4:K10)</f>
        <v>891375.96929999976</v>
      </c>
      <c r="M11" s="223">
        <f>SUM(M4:M10)</f>
        <v>913660.36853249965</v>
      </c>
      <c r="O11" s="223">
        <f>SUM(O4:O10)</f>
        <v>936501.87774581218</v>
      </c>
      <c r="Q11" s="223">
        <f>SUM(Q4:Q10)</f>
        <v>959914.42468945729</v>
      </c>
      <c r="S11" s="223">
        <f>SUM(S4:S10)</f>
        <v>983912.28530669375</v>
      </c>
      <c r="U11" s="223">
        <f>SUM(U4:U10)</f>
        <v>1008510.0924393609</v>
      </c>
      <c r="W11" s="223">
        <f>SUM(W4:W10)</f>
        <v>1033722.8447503448</v>
      </c>
      <c r="Y11" s="223">
        <f>SUM(Y4:Y10)</f>
        <v>1059565.9158691033</v>
      </c>
      <c r="AA11" s="223">
        <f>SUM(AA4:AA10)</f>
        <v>1086055.0637658306</v>
      </c>
      <c r="AC11" s="223">
        <f>SUM(AC4:AC10)</f>
        <v>1113206.4403599761</v>
      </c>
      <c r="AE11" s="223">
        <f>SUM(AE4:AE10)</f>
        <v>1141036.6013689756</v>
      </c>
      <c r="AG11" s="223">
        <f>SUM(AG4:AG10)</f>
        <v>1169562.5164032001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19250</v>
      </c>
      <c r="G15" s="219">
        <f>E15*$C$14</f>
        <v>19923.75</v>
      </c>
      <c r="I15" s="219">
        <f>G15*$C$14</f>
        <v>20621.081249999999</v>
      </c>
      <c r="K15" s="219">
        <f>I15*$C$14</f>
        <v>21342.819093749997</v>
      </c>
      <c r="M15" s="219">
        <f>K15*$C$14</f>
        <v>22089.817762031245</v>
      </c>
      <c r="O15" s="219">
        <f>M15*$C$14</f>
        <v>22862.961383702339</v>
      </c>
      <c r="Q15" s="219">
        <f>O15*$C$14</f>
        <v>23663.165032131918</v>
      </c>
      <c r="S15" s="219">
        <f>Q15*$C$14</f>
        <v>24491.375808256533</v>
      </c>
      <c r="U15" s="219">
        <f>S15*$C$14</f>
        <v>25348.57396154551</v>
      </c>
      <c r="W15" s="219">
        <f>U15*$C$14</f>
        <v>26235.774050199601</v>
      </c>
      <c r="Y15" s="219">
        <f>W15*$C$14</f>
        <v>27154.026141956587</v>
      </c>
      <c r="AA15" s="219">
        <f>Y15*$C$14</f>
        <v>28104.417056925064</v>
      </c>
      <c r="AC15" s="219">
        <f>AA15*$C$14</f>
        <v>29088.071653917439</v>
      </c>
      <c r="AE15" s="219">
        <f>AC15*$C$14</f>
        <v>30106.154161804548</v>
      </c>
      <c r="AG15" s="219">
        <f>AE15*$C$14</f>
        <v>31159.869557467704</v>
      </c>
    </row>
    <row r="16" spans="1:34" s="210" customFormat="1" ht="14.25">
      <c r="A16" s="210" t="s">
        <v>344</v>
      </c>
      <c r="C16" s="233"/>
      <c r="E16" s="222">
        <f>Application!W849</f>
        <v>41386.559999999998</v>
      </c>
      <c r="F16" s="222"/>
      <c r="G16" s="222">
        <f t="shared" ref="G16:AG21" si="0">E16*$C$14</f>
        <v>42835.089599999992</v>
      </c>
      <c r="H16" s="222"/>
      <c r="I16" s="222">
        <f t="shared" si="0"/>
        <v>44334.31773599999</v>
      </c>
      <c r="J16" s="222"/>
      <c r="K16" s="222">
        <f t="shared" si="0"/>
        <v>45886.018856759983</v>
      </c>
      <c r="L16" s="222"/>
      <c r="M16" s="222">
        <f t="shared" si="0"/>
        <v>47492.029516746581</v>
      </c>
      <c r="N16" s="222"/>
      <c r="O16" s="222">
        <f t="shared" si="0"/>
        <v>49154.250549832708</v>
      </c>
      <c r="P16" s="222"/>
      <c r="Q16" s="222">
        <f t="shared" si="0"/>
        <v>50874.649319076852</v>
      </c>
      <c r="R16" s="222"/>
      <c r="S16" s="222">
        <f t="shared" si="0"/>
        <v>52655.262045244541</v>
      </c>
      <c r="T16" s="222"/>
      <c r="U16" s="222">
        <f t="shared" si="0"/>
        <v>54498.196216828095</v>
      </c>
      <c r="V16" s="222"/>
      <c r="W16" s="222">
        <f t="shared" si="0"/>
        <v>56405.633084417073</v>
      </c>
      <c r="X16" s="222"/>
      <c r="Y16" s="222">
        <f t="shared" si="0"/>
        <v>58379.830242371667</v>
      </c>
      <c r="Z16" s="222"/>
      <c r="AA16" s="222">
        <f t="shared" si="0"/>
        <v>60423.124300854673</v>
      </c>
      <c r="AB16" s="222"/>
      <c r="AC16" s="222">
        <f t="shared" si="0"/>
        <v>62537.933651384585</v>
      </c>
      <c r="AD16" s="222"/>
      <c r="AE16" s="222">
        <f t="shared" si="0"/>
        <v>64726.761329183042</v>
      </c>
      <c r="AF16" s="222"/>
      <c r="AG16" s="222">
        <f t="shared" si="0"/>
        <v>66992.197975704446</v>
      </c>
    </row>
    <row r="17" spans="1:33" s="210" customFormat="1" ht="14.25">
      <c r="A17" s="210" t="s">
        <v>562</v>
      </c>
      <c r="C17" s="233"/>
      <c r="E17" s="222">
        <f>Application!W855</f>
        <v>16100</v>
      </c>
      <c r="F17" s="222"/>
      <c r="G17" s="222">
        <f t="shared" si="0"/>
        <v>16663.5</v>
      </c>
      <c r="H17" s="222"/>
      <c r="I17" s="222">
        <f t="shared" si="0"/>
        <v>17246.7225</v>
      </c>
      <c r="J17" s="222"/>
      <c r="K17" s="222">
        <f t="shared" si="0"/>
        <v>17850.357787499997</v>
      </c>
      <c r="L17" s="222"/>
      <c r="M17" s="222">
        <f t="shared" si="0"/>
        <v>18475.120310062495</v>
      </c>
      <c r="N17" s="222"/>
      <c r="O17" s="222">
        <f t="shared" si="0"/>
        <v>19121.74952091468</v>
      </c>
      <c r="P17" s="222"/>
      <c r="Q17" s="222">
        <f t="shared" si="0"/>
        <v>19791.010754146693</v>
      </c>
      <c r="R17" s="222"/>
      <c r="S17" s="222">
        <f t="shared" si="0"/>
        <v>20483.696130541826</v>
      </c>
      <c r="T17" s="222"/>
      <c r="U17" s="222">
        <f t="shared" si="0"/>
        <v>21200.625495110788</v>
      </c>
      <c r="V17" s="222"/>
      <c r="W17" s="222">
        <f t="shared" si="0"/>
        <v>21942.647387439665</v>
      </c>
      <c r="X17" s="222"/>
      <c r="Y17" s="222">
        <f t="shared" si="0"/>
        <v>22710.640046000051</v>
      </c>
      <c r="Z17" s="222"/>
      <c r="AA17" s="222">
        <f t="shared" si="0"/>
        <v>23505.51244761005</v>
      </c>
      <c r="AB17" s="222"/>
      <c r="AC17" s="222">
        <f t="shared" si="0"/>
        <v>24328.2053832764</v>
      </c>
      <c r="AD17" s="222"/>
      <c r="AE17" s="222">
        <f t="shared" si="0"/>
        <v>25179.69257169107</v>
      </c>
      <c r="AF17" s="222"/>
      <c r="AG17" s="222">
        <f t="shared" si="0"/>
        <v>26060.981811700254</v>
      </c>
    </row>
    <row r="18" spans="1:33" s="210" customFormat="1" ht="14.25">
      <c r="A18" s="210" t="s">
        <v>843</v>
      </c>
      <c r="C18" s="233"/>
      <c r="E18" s="222">
        <f>Application!W862</f>
        <v>70000</v>
      </c>
      <c r="F18" s="222"/>
      <c r="G18" s="222">
        <f t="shared" si="0"/>
        <v>72450</v>
      </c>
      <c r="H18" s="222"/>
      <c r="I18" s="222">
        <f t="shared" si="0"/>
        <v>74985.75</v>
      </c>
      <c r="J18" s="222"/>
      <c r="K18" s="222">
        <f t="shared" si="0"/>
        <v>77610.251250000001</v>
      </c>
      <c r="L18" s="222"/>
      <c r="M18" s="222">
        <f t="shared" si="0"/>
        <v>80326.610043749999</v>
      </c>
      <c r="N18" s="222"/>
      <c r="O18" s="222">
        <f t="shared" si="0"/>
        <v>83138.041395281238</v>
      </c>
      <c r="P18" s="222"/>
      <c r="Q18" s="222">
        <f t="shared" si="0"/>
        <v>86047.872844116078</v>
      </c>
      <c r="R18" s="222"/>
      <c r="S18" s="222">
        <f t="shared" si="0"/>
        <v>89059.548393660138</v>
      </c>
      <c r="T18" s="222"/>
      <c r="U18" s="222">
        <f t="shared" si="0"/>
        <v>92176.632587438231</v>
      </c>
      <c r="V18" s="222"/>
      <c r="W18" s="222">
        <f t="shared" si="0"/>
        <v>95402.814727998557</v>
      </c>
      <c r="X18" s="222"/>
      <c r="Y18" s="222">
        <f t="shared" si="0"/>
        <v>98741.913243478499</v>
      </c>
      <c r="Z18" s="222"/>
      <c r="AA18" s="222">
        <f t="shared" si="0"/>
        <v>102197.88020700024</v>
      </c>
      <c r="AB18" s="222"/>
      <c r="AC18" s="222">
        <f t="shared" si="0"/>
        <v>105774.80601424525</v>
      </c>
      <c r="AD18" s="222"/>
      <c r="AE18" s="222">
        <f t="shared" si="0"/>
        <v>109476.92422474382</v>
      </c>
      <c r="AF18" s="222"/>
      <c r="AG18" s="222">
        <f t="shared" si="0"/>
        <v>113308.61657260986</v>
      </c>
    </row>
    <row r="19" spans="1:33" s="210" customFormat="1" ht="14.25">
      <c r="A19" s="210" t="s">
        <v>155</v>
      </c>
      <c r="C19" s="233"/>
      <c r="E19" s="222">
        <f>Application!W863</f>
        <v>23925</v>
      </c>
      <c r="F19" s="222"/>
      <c r="G19" s="222">
        <f t="shared" si="0"/>
        <v>24762.374999999996</v>
      </c>
      <c r="H19" s="222"/>
      <c r="I19" s="222">
        <f t="shared" si="0"/>
        <v>25629.058124999996</v>
      </c>
      <c r="J19" s="222"/>
      <c r="K19" s="222">
        <f t="shared" si="0"/>
        <v>26526.075159374992</v>
      </c>
      <c r="L19" s="222"/>
      <c r="M19" s="222">
        <f t="shared" si="0"/>
        <v>27454.487789953113</v>
      </c>
      <c r="N19" s="222"/>
      <c r="O19" s="222">
        <f t="shared" si="0"/>
        <v>28415.394862601468</v>
      </c>
      <c r="P19" s="222"/>
      <c r="Q19" s="222">
        <f t="shared" si="0"/>
        <v>29409.933682792518</v>
      </c>
      <c r="R19" s="222"/>
      <c r="S19" s="222">
        <f t="shared" si="0"/>
        <v>30439.281361690253</v>
      </c>
      <c r="T19" s="222"/>
      <c r="U19" s="222">
        <f t="shared" si="0"/>
        <v>31504.65620934941</v>
      </c>
      <c r="V19" s="222"/>
      <c r="W19" s="222">
        <f t="shared" si="0"/>
        <v>32607.319176676636</v>
      </c>
      <c r="X19" s="222"/>
      <c r="Y19" s="222">
        <f t="shared" si="0"/>
        <v>33748.575347860315</v>
      </c>
      <c r="Z19" s="222"/>
      <c r="AA19" s="222">
        <f t="shared" si="0"/>
        <v>34929.775485035425</v>
      </c>
      <c r="AB19" s="222"/>
      <c r="AC19" s="222">
        <f t="shared" si="0"/>
        <v>36152.31762701166</v>
      </c>
      <c r="AD19" s="222"/>
      <c r="AE19" s="222">
        <f t="shared" si="0"/>
        <v>37417.648743957063</v>
      </c>
      <c r="AF19" s="222"/>
      <c r="AG19" s="222">
        <f t="shared" si="0"/>
        <v>38727.266449995557</v>
      </c>
    </row>
    <row r="20" spans="1:33" s="210" customFormat="1" ht="14.25">
      <c r="A20" s="210" t="s">
        <v>390</v>
      </c>
      <c r="C20" s="233"/>
      <c r="E20" s="222">
        <f>Application!W872</f>
        <v>23733</v>
      </c>
      <c r="F20" s="222"/>
      <c r="G20" s="222">
        <f t="shared" si="0"/>
        <v>24563.654999999999</v>
      </c>
      <c r="H20" s="222"/>
      <c r="I20" s="222">
        <f t="shared" si="0"/>
        <v>25423.382924999998</v>
      </c>
      <c r="J20" s="222"/>
      <c r="K20" s="222">
        <f t="shared" si="0"/>
        <v>26313.201327374994</v>
      </c>
      <c r="L20" s="222"/>
      <c r="M20" s="222">
        <f t="shared" si="0"/>
        <v>27234.163373833118</v>
      </c>
      <c r="N20" s="222"/>
      <c r="O20" s="222">
        <f t="shared" si="0"/>
        <v>28187.359091917275</v>
      </c>
      <c r="P20" s="222"/>
      <c r="Q20" s="222">
        <f t="shared" si="0"/>
        <v>29173.916660134379</v>
      </c>
      <c r="R20" s="222"/>
      <c r="S20" s="222">
        <f t="shared" si="0"/>
        <v>30195.003743239078</v>
      </c>
      <c r="T20" s="222"/>
      <c r="U20" s="222">
        <f t="shared" si="0"/>
        <v>31251.828874252442</v>
      </c>
      <c r="V20" s="222"/>
      <c r="W20" s="222">
        <f t="shared" si="0"/>
        <v>32345.642884851273</v>
      </c>
      <c r="X20" s="222"/>
      <c r="Y20" s="222">
        <f t="shared" si="0"/>
        <v>33477.740385821067</v>
      </c>
      <c r="Z20" s="222"/>
      <c r="AA20" s="222">
        <f t="shared" si="0"/>
        <v>34649.461299324801</v>
      </c>
      <c r="AB20" s="222"/>
      <c r="AC20" s="222">
        <f t="shared" si="0"/>
        <v>35862.192444801163</v>
      </c>
      <c r="AD20" s="222"/>
      <c r="AE20" s="222">
        <f t="shared" si="0"/>
        <v>37117.369180369198</v>
      </c>
      <c r="AF20" s="222"/>
      <c r="AG20" s="222">
        <f t="shared" si="0"/>
        <v>38416.477101682118</v>
      </c>
    </row>
    <row r="21" spans="1:33" s="210" customFormat="1" ht="14.25">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844</v>
      </c>
      <c r="C22" s="233"/>
      <c r="E22" s="223">
        <f>SUM(E15:E21)</f>
        <v>194394.56</v>
      </c>
      <c r="G22" s="223">
        <f>SUM(G15:G21)</f>
        <v>201198.36960000001</v>
      </c>
      <c r="I22" s="223">
        <f>SUM(I15:I21)</f>
        <v>208240.31253599998</v>
      </c>
      <c r="K22" s="223">
        <f>SUM(K15:K21)</f>
        <v>215528.72347475996</v>
      </c>
      <c r="M22" s="223">
        <f>SUM(M15:M21)</f>
        <v>223072.22879637656</v>
      </c>
      <c r="O22" s="223">
        <f>SUM(O15:O21)</f>
        <v>230879.75680424972</v>
      </c>
      <c r="Q22" s="223">
        <f>SUM(Q15:Q21)</f>
        <v>238960.54829239845</v>
      </c>
      <c r="S22" s="223">
        <f>SUM(S15:S21)</f>
        <v>247324.16748263236</v>
      </c>
      <c r="U22" s="223">
        <f>SUM(U15:U21)</f>
        <v>255980.51334452449</v>
      </c>
      <c r="W22" s="223">
        <f>SUM(W15:W21)</f>
        <v>264939.83131158276</v>
      </c>
      <c r="Y22" s="223">
        <f>SUM(Y15:Y21)</f>
        <v>274212.72540748818</v>
      </c>
      <c r="AA22" s="223">
        <f>SUM(AA15:AA21)</f>
        <v>283810.17079675029</v>
      </c>
      <c r="AC22" s="223">
        <f>SUM(AC15:AC21)</f>
        <v>293743.52677463653</v>
      </c>
      <c r="AE22" s="223">
        <f>SUM(AE15:AE21)</f>
        <v>304024.55021174875</v>
      </c>
      <c r="AG22" s="223">
        <f>SUM(AG15:AG21)</f>
        <v>314665.4094691599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1683</v>
      </c>
      <c r="C24" s="233"/>
      <c r="E24" s="910">
        <v>125000</v>
      </c>
      <c r="F24" s="222"/>
      <c r="G24" s="222">
        <f>+E24*1.035</f>
        <v>129374.99999999999</v>
      </c>
      <c r="H24" s="222"/>
      <c r="I24" s="222">
        <f>+G24*1.035</f>
        <v>133903.12499999997</v>
      </c>
      <c r="J24" s="222"/>
      <c r="K24" s="222">
        <f>+I24*1.035</f>
        <v>138589.73437499997</v>
      </c>
      <c r="L24" s="222"/>
      <c r="M24" s="222">
        <f>+K24*1.035</f>
        <v>143440.37507812495</v>
      </c>
      <c r="N24" s="222"/>
      <c r="O24" s="222">
        <f>+M24*1.035</f>
        <v>148460.78820585931</v>
      </c>
      <c r="P24" s="222"/>
      <c r="Q24" s="222">
        <f>+O24*1.035</f>
        <v>153656.91579306437</v>
      </c>
      <c r="R24" s="222"/>
      <c r="S24" s="222">
        <f>+Q24*1.035</f>
        <v>159034.90784582161</v>
      </c>
      <c r="T24" s="222"/>
      <c r="U24" s="222">
        <f>+S24*1.035</f>
        <v>164601.12962042534</v>
      </c>
      <c r="V24" s="222"/>
      <c r="W24" s="222">
        <f>+U24*1.035</f>
        <v>170362.16915714022</v>
      </c>
      <c r="X24" s="222"/>
      <c r="Y24" s="222">
        <f>+W24*1.035</f>
        <v>176324.84507764012</v>
      </c>
      <c r="Z24" s="222"/>
      <c r="AA24" s="222">
        <f>+Y24*1.035</f>
        <v>182496.2146553575</v>
      </c>
      <c r="AB24" s="222"/>
      <c r="AC24" s="222">
        <f>+AA24*1.035</f>
        <v>188883.58216829499</v>
      </c>
      <c r="AD24" s="222"/>
      <c r="AE24" s="222">
        <f>+AC24*1.035</f>
        <v>195494.5075441853</v>
      </c>
      <c r="AF24" s="222"/>
      <c r="AG24" s="222">
        <f>+AE24*1.035</f>
        <v>202336.81530823177</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28500</v>
      </c>
      <c r="F27" s="222"/>
      <c r="G27" s="222">
        <f>E27*$C$27</f>
        <v>29497.499999999996</v>
      </c>
      <c r="H27" s="222"/>
      <c r="I27" s="222">
        <f>G27*$C$27</f>
        <v>30529.912499999995</v>
      </c>
      <c r="J27" s="222"/>
      <c r="K27" s="222">
        <f>I27*$C$27</f>
        <v>31598.459437499991</v>
      </c>
      <c r="L27" s="222"/>
      <c r="M27" s="222">
        <f>K27*$C$27</f>
        <v>32704.405517812487</v>
      </c>
      <c r="N27" s="222"/>
      <c r="O27" s="222">
        <f>M27*$C$27</f>
        <v>33849.059710935922</v>
      </c>
      <c r="P27" s="222"/>
      <c r="Q27" s="222">
        <f>O27*$C$27</f>
        <v>35033.776800818676</v>
      </c>
      <c r="R27" s="222"/>
      <c r="S27" s="222">
        <f>Q27*$C$27</f>
        <v>36259.958988847327</v>
      </c>
      <c r="T27" s="222"/>
      <c r="U27" s="222">
        <f>S27*$C$27</f>
        <v>37529.05755345698</v>
      </c>
      <c r="V27" s="222"/>
      <c r="W27" s="222">
        <f>U27*$C$27</f>
        <v>38842.574567827971</v>
      </c>
      <c r="X27" s="222"/>
      <c r="Y27" s="222">
        <f>W27*$C$27</f>
        <v>40202.06467770195</v>
      </c>
      <c r="Z27" s="222"/>
      <c r="AA27" s="222">
        <f>Y27*$C$27</f>
        <v>41609.136941421515</v>
      </c>
      <c r="AB27" s="222"/>
      <c r="AC27" s="222">
        <f>AA27*$C$27</f>
        <v>43065.456734371262</v>
      </c>
      <c r="AD27" s="222"/>
      <c r="AE27" s="222">
        <f>AC27*$C$27</f>
        <v>44572.747720074251</v>
      </c>
      <c r="AF27" s="222"/>
      <c r="AG27" s="222">
        <f>AE27*$C$27</f>
        <v>46132.793890276844</v>
      </c>
    </row>
    <row r="28" spans="1:33" s="210" customFormat="1" ht="14.25">
      <c r="A28" s="210" t="s">
        <v>847</v>
      </c>
      <c r="C28" s="237"/>
      <c r="E28" s="222">
        <f>Application!AC889</f>
        <v>11550</v>
      </c>
      <c r="F28" s="222"/>
      <c r="G28" s="222">
        <f>$E$28</f>
        <v>11550</v>
      </c>
      <c r="H28" s="222"/>
      <c r="I28" s="222">
        <f>$E$28</f>
        <v>11550</v>
      </c>
      <c r="J28" s="222"/>
      <c r="K28" s="222">
        <f>$E$28</f>
        <v>11550</v>
      </c>
      <c r="L28" s="222"/>
      <c r="M28" s="222">
        <f>$E$28</f>
        <v>11550</v>
      </c>
      <c r="N28" s="222"/>
      <c r="O28" s="222">
        <f>$E$28</f>
        <v>11550</v>
      </c>
      <c r="P28" s="222"/>
      <c r="Q28" s="222">
        <f>$E$28</f>
        <v>11550</v>
      </c>
      <c r="R28" s="222"/>
      <c r="S28" s="222">
        <f>$E$28</f>
        <v>11550</v>
      </c>
      <c r="T28" s="222"/>
      <c r="U28" s="222">
        <f>$E$28</f>
        <v>11550</v>
      </c>
      <c r="V28" s="222"/>
      <c r="W28" s="222">
        <f>$E$28</f>
        <v>11550</v>
      </c>
      <c r="X28" s="222"/>
      <c r="Y28" s="222">
        <f>$E$28</f>
        <v>11550</v>
      </c>
      <c r="Z28" s="222"/>
      <c r="AA28" s="222">
        <f>$E$28</f>
        <v>11550</v>
      </c>
      <c r="AB28" s="222"/>
      <c r="AC28" s="222">
        <f>$E$28</f>
        <v>11550</v>
      </c>
      <c r="AD28" s="222"/>
      <c r="AE28" s="222">
        <f>$E$28</f>
        <v>11550</v>
      </c>
      <c r="AF28" s="222"/>
      <c r="AG28" s="222">
        <f>$E$28</f>
        <v>11550</v>
      </c>
    </row>
    <row r="29" spans="1:33" s="210" customFormat="1" ht="14.25">
      <c r="A29" s="210" t="s">
        <v>1681</v>
      </c>
      <c r="C29" s="237"/>
      <c r="E29" s="222">
        <f>Application!AC890</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25">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363444.56</v>
      </c>
      <c r="G35" s="223">
        <f>SUM(G22:G33)</f>
        <v>375620.86959999998</v>
      </c>
      <c r="I35" s="223">
        <f>SUM(I22:I33)</f>
        <v>388223.3500359999</v>
      </c>
      <c r="K35" s="223">
        <f>SUM(K22:K33)</f>
        <v>401266.91728725994</v>
      </c>
      <c r="M35" s="223">
        <f>SUM(M22:M33)</f>
        <v>414767.00939231401</v>
      </c>
      <c r="O35" s="223">
        <f>SUM(O22:O33)</f>
        <v>428739.60472104495</v>
      </c>
      <c r="Q35" s="223">
        <f>SUM(Q22:Q33)</f>
        <v>443201.24088628154</v>
      </c>
      <c r="S35" s="223">
        <f>SUM(S22:S33)</f>
        <v>458169.0343173013</v>
      </c>
      <c r="U35" s="223">
        <f>SUM(U22:U33)</f>
        <v>473660.70051840681</v>
      </c>
      <c r="W35" s="223">
        <f>SUM(W22:W33)</f>
        <v>489694.57503655099</v>
      </c>
      <c r="Y35" s="223">
        <f>SUM(Y22:Y33)</f>
        <v>506289.63516283029</v>
      </c>
      <c r="AA35" s="223">
        <f>SUM(AA22:AA33)</f>
        <v>523465.5223935293</v>
      </c>
      <c r="AC35" s="223">
        <f>SUM(AC22:AC33)</f>
        <v>541242.56567730277</v>
      </c>
      <c r="AE35" s="223">
        <f>SUM(AE22:AE33)</f>
        <v>559641.80547600833</v>
      </c>
      <c r="AG35" s="223">
        <f>SUM(AG22:AG33)</f>
        <v>578685.01866766845</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464286.63999999996</v>
      </c>
      <c r="G37" s="223">
        <f>G11-G35</f>
        <v>472803.61040000001</v>
      </c>
      <c r="I37" s="223">
        <f>I11-I35</f>
        <v>481411.74196400004</v>
      </c>
      <c r="K37" s="223">
        <f>K11-K35</f>
        <v>490109.05201273982</v>
      </c>
      <c r="M37" s="223">
        <f>M11-M35</f>
        <v>498893.35914018564</v>
      </c>
      <c r="O37" s="223">
        <f>O11-O35</f>
        <v>507762.27302476723</v>
      </c>
      <c r="Q37" s="223">
        <f>Q11-Q35</f>
        <v>516713.18380317575</v>
      </c>
      <c r="S37" s="223">
        <f>S11-S35</f>
        <v>525743.2509893924</v>
      </c>
      <c r="U37" s="223">
        <f>U11-U35</f>
        <v>534849.39192095411</v>
      </c>
      <c r="W37" s="223">
        <f>W11-W35</f>
        <v>544028.26971379376</v>
      </c>
      <c r="Y37" s="223">
        <f>Y11-Y35</f>
        <v>553276.28070627293</v>
      </c>
      <c r="AA37" s="223">
        <f>AA11-AA35</f>
        <v>562589.54137230129</v>
      </c>
      <c r="AC37" s="223">
        <f>AC11-AC35</f>
        <v>571963.87468267337</v>
      </c>
      <c r="AE37" s="223">
        <f>AE11-AE35</f>
        <v>581394.79589296726</v>
      </c>
      <c r="AG37" s="223">
        <f>AG11-AG35</f>
        <v>590877.49773553165</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California Bank &amp; Trust</v>
      </c>
      <c r="B40" s="226"/>
      <c r="C40" s="220"/>
      <c r="E40" s="222">
        <f>Application!AF627</f>
        <v>403720</v>
      </c>
      <c r="F40" s="222"/>
      <c r="G40" s="222">
        <f>$E$40</f>
        <v>403720</v>
      </c>
      <c r="H40" s="222"/>
      <c r="I40" s="222">
        <f>$E$40</f>
        <v>403720</v>
      </c>
      <c r="J40" s="222"/>
      <c r="K40" s="222">
        <f>$E$40</f>
        <v>403720</v>
      </c>
      <c r="L40" s="222"/>
      <c r="M40" s="222">
        <f>$E$40</f>
        <v>403720</v>
      </c>
      <c r="N40" s="222"/>
      <c r="O40" s="222">
        <f>$E$40</f>
        <v>403720</v>
      </c>
      <c r="P40" s="222"/>
      <c r="Q40" s="222">
        <f>$E$40</f>
        <v>403720</v>
      </c>
      <c r="R40" s="222"/>
      <c r="S40" s="222">
        <f>$E$40</f>
        <v>403720</v>
      </c>
      <c r="T40" s="222"/>
      <c r="U40" s="222">
        <f>$E$40</f>
        <v>403720</v>
      </c>
      <c r="V40" s="222"/>
      <c r="W40" s="222">
        <f>$E$40</f>
        <v>403720</v>
      </c>
      <c r="X40" s="222"/>
      <c r="Y40" s="222">
        <f>$E$40</f>
        <v>403720</v>
      </c>
      <c r="Z40" s="222"/>
      <c r="AA40" s="222">
        <f>$E$40</f>
        <v>403720</v>
      </c>
      <c r="AB40" s="222"/>
      <c r="AC40" s="222">
        <f>$E$40</f>
        <v>403720</v>
      </c>
      <c r="AD40" s="222"/>
      <c r="AE40" s="222">
        <f>$E$40</f>
        <v>403720</v>
      </c>
      <c r="AF40" s="222"/>
      <c r="AG40" s="222">
        <f>$E$40</f>
        <v>403720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403720</v>
      </c>
      <c r="G43" s="223">
        <f>SUM(G40:G42)</f>
        <v>403720</v>
      </c>
      <c r="I43" s="223">
        <f>SUM(I40:I42)</f>
        <v>403720</v>
      </c>
      <c r="K43" s="223">
        <f>SUM(K40:K42)</f>
        <v>403720</v>
      </c>
      <c r="M43" s="223">
        <f>SUM(M40:M42)</f>
        <v>403720</v>
      </c>
      <c r="O43" s="223">
        <f>SUM(O40:O42)</f>
        <v>403720</v>
      </c>
      <c r="Q43" s="223">
        <f>SUM(Q40:Q42)</f>
        <v>403720</v>
      </c>
      <c r="S43" s="223">
        <f>SUM(S40:S42)</f>
        <v>403720</v>
      </c>
      <c r="U43" s="223">
        <f>SUM(U40:U42)</f>
        <v>403720</v>
      </c>
      <c r="W43" s="223">
        <f>SUM(W40:W42)</f>
        <v>403720</v>
      </c>
      <c r="Y43" s="223">
        <f>SUM(Y40:Y42)</f>
        <v>403720</v>
      </c>
      <c r="AA43" s="223">
        <f>SUM(AA40:AA42)</f>
        <v>403720</v>
      </c>
      <c r="AC43" s="223">
        <f>SUM(AC40:AC42)</f>
        <v>403720</v>
      </c>
      <c r="AE43" s="223">
        <f>SUM(AE40:AE42)</f>
        <v>403720</v>
      </c>
      <c r="AG43" s="223">
        <f>SUM(AG40:AG42)</f>
        <v>403720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60566.639999999956</v>
      </c>
      <c r="G45" s="223">
        <f>G37-G43</f>
        <v>69083.610400000005</v>
      </c>
      <c r="I45" s="223">
        <f>I37-I43</f>
        <v>77691.741964000044</v>
      </c>
      <c r="K45" s="223">
        <f>K37-K43</f>
        <v>86389.052012739819</v>
      </c>
      <c r="M45" s="223">
        <f>M37-M43</f>
        <v>95173.359140185639</v>
      </c>
      <c r="O45" s="223">
        <f>O37-O43</f>
        <v>104042.27302476723</v>
      </c>
      <c r="Q45" s="223">
        <f>Q37-Q43</f>
        <v>112993.18380317575</v>
      </c>
      <c r="S45" s="223">
        <f>S37-S43</f>
        <v>122023.2509893924</v>
      </c>
      <c r="U45" s="223">
        <f>U37-U43</f>
        <v>131129.39192095411</v>
      </c>
      <c r="W45" s="223">
        <f>W37-W43</f>
        <v>140308.26971379376</v>
      </c>
      <c r="Y45" s="223">
        <f>Y37-Y43</f>
        <v>149556.28070627293</v>
      </c>
      <c r="AA45" s="223">
        <f>AA37-AA43</f>
        <v>158869.54137230129</v>
      </c>
      <c r="AC45" s="223">
        <f>AC37-AC43</f>
        <v>168243.87468267337</v>
      </c>
      <c r="AE45" s="223">
        <f>AE37-AE43</f>
        <v>177674.79589296726</v>
      </c>
      <c r="AG45" s="223">
        <f>AG37-AG43</f>
        <v>187157.49773553165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6.9513276773909158E-2</v>
      </c>
      <c r="G47" s="227">
        <f>G45/(G4+G6+G8)</f>
        <v>7.7354474590360725E-2</v>
      </c>
      <c r="I47" s="227">
        <f>I45/(I4+I6+I8)</f>
        <v>8.487140818576816E-2</v>
      </c>
      <c r="K47" s="227">
        <f>K45/(K4+K6+K8)</f>
        <v>9.2070688731436562E-2</v>
      </c>
      <c r="M47" s="227">
        <f>M45/(M4+M6+M8)</f>
        <v>9.8958753489984855E-2</v>
      </c>
      <c r="O47" s="227">
        <f>O45/(O4+O6+O8)</f>
        <v>0.10554186993350197</v>
      </c>
      <c r="Q47" s="227">
        <f>Q45/(Q4+Q6+Q8)</f>
        <v>0.11182613976005595</v>
      </c>
      <c r="S47" s="227">
        <f>S45/(S4+S6+S8)</f>
        <v>0.11781750281102435</v>
      </c>
      <c r="U47" s="227">
        <f>U45/(U4+U6+U8)</f>
        <v>0.1235217408916477</v>
      </c>
      <c r="W47" s="227">
        <f>W45/(W4+W6+W8)</f>
        <v>0.12894448149716159</v>
      </c>
      <c r="Y47" s="227">
        <f>Y45/(Y4+Y6+Y8)</f>
        <v>0.13409120144679265</v>
      </c>
      <c r="AA47" s="227">
        <f>AA45/(AA4+AA6+AA8)</f>
        <v>0.13896723042785619</v>
      </c>
      <c r="AC47" s="227">
        <f>AC45/(AC4+AC6+AC8)</f>
        <v>0.14357775445213478</v>
      </c>
      <c r="AE47" s="227">
        <f>AE45/(AE4+AE6+AE8)</f>
        <v>0.14792781922666573</v>
      </c>
      <c r="AG47" s="227">
        <f>AG45/(AG4+AG6+AG8)</f>
        <v>0.15202233344101093</v>
      </c>
    </row>
    <row r="48" spans="1:33" s="227" customFormat="1" ht="14.25">
      <c r="A48" s="227" t="s">
        <v>853</v>
      </c>
      <c r="C48" s="220"/>
      <c r="E48" s="227">
        <f>E45/E43</f>
        <v>0.15002140097096986</v>
      </c>
      <c r="G48" s="227">
        <f>G45/G43</f>
        <v>0.1711176320221936</v>
      </c>
      <c r="I48" s="227">
        <f>I45/I43</f>
        <v>0.19243966601605084</v>
      </c>
      <c r="K48" s="227">
        <f>K45/K43</f>
        <v>0.21398259192692912</v>
      </c>
      <c r="M48" s="227">
        <f>M45/M43</f>
        <v>0.2357410064901061</v>
      </c>
      <c r="O48" s="227">
        <f>O45/O43</f>
        <v>0.2577089889645478</v>
      </c>
      <c r="Q48" s="227">
        <f>Q45/Q43</f>
        <v>0.27988007481218602</v>
      </c>
      <c r="S48" s="227">
        <f>S45/S43</f>
        <v>0.30224722825074901</v>
      </c>
      <c r="U48" s="227">
        <f>U45/U43</f>
        <v>0.32480281363557439</v>
      </c>
      <c r="W48" s="227">
        <f>W45/W43</f>
        <v>0.34753856562417956</v>
      </c>
      <c r="Y48" s="227">
        <f>Y45/Y43</f>
        <v>0.37044555807557944</v>
      </c>
      <c r="AA48" s="227">
        <f>AA45/AA43</f>
        <v>0.39351417163455188</v>
      </c>
      <c r="AC48" s="227">
        <f>AC45/AC43</f>
        <v>0.41673405994915624</v>
      </c>
      <c r="AE48" s="227">
        <f>AE45/AE43</f>
        <v>0.440094114467867</v>
      </c>
      <c r="AG48" s="227">
        <f>AG45/AG43</f>
        <v>0.46358242776065506</v>
      </c>
    </row>
    <row r="49" spans="1:34" s="228" customFormat="1" ht="14.25">
      <c r="A49" s="228" t="s">
        <v>851</v>
      </c>
      <c r="C49" s="229"/>
      <c r="E49" s="228">
        <f>E37/E43</f>
        <v>1.1500214009709699</v>
      </c>
      <c r="G49" s="228">
        <f>G37/G43</f>
        <v>1.1711176320221937</v>
      </c>
      <c r="I49" s="228">
        <f>I37/I43</f>
        <v>1.1924396660160508</v>
      </c>
      <c r="K49" s="228">
        <f>K37/K43</f>
        <v>1.2139825919269291</v>
      </c>
      <c r="M49" s="228">
        <f>M37/M43</f>
        <v>1.2357410064901062</v>
      </c>
      <c r="O49" s="228">
        <f>O37/O43</f>
        <v>1.2577089889645479</v>
      </c>
      <c r="Q49" s="228">
        <f>Q37/Q43</f>
        <v>1.2798800748121861</v>
      </c>
      <c r="S49" s="228">
        <f>S37/S43</f>
        <v>1.3022472282507491</v>
      </c>
      <c r="U49" s="228">
        <f>U37/U43</f>
        <v>1.3248028136355745</v>
      </c>
      <c r="W49" s="228">
        <f>W37/W43</f>
        <v>1.3475385656241796</v>
      </c>
      <c r="Y49" s="228">
        <f>Y37/Y43</f>
        <v>1.3704455580755794</v>
      </c>
      <c r="AA49" s="228">
        <f>AA37/AA43</f>
        <v>1.3935141716345518</v>
      </c>
      <c r="AC49" s="228">
        <f>AC37/AC43</f>
        <v>1.4167340599491562</v>
      </c>
      <c r="AE49" s="228">
        <f>AE37/AE43</f>
        <v>1.4400941144678669</v>
      </c>
      <c r="AG49" s="228">
        <f>AG37/AG43</f>
        <v>1.4635824277606551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1185</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60566.639999999956</v>
      </c>
      <c r="G60" s="962">
        <f>G45-G58</f>
        <v>69083.610400000005</v>
      </c>
      <c r="I60" s="962">
        <f>I45-I58</f>
        <v>77691.741964000044</v>
      </c>
      <c r="K60" s="962">
        <f>K45-K58</f>
        <v>86389.052012739819</v>
      </c>
      <c r="M60" s="962">
        <f>M45-M58</f>
        <v>95173.359140185639</v>
      </c>
      <c r="O60" s="962">
        <f>O45-O58</f>
        <v>104042.27302476723</v>
      </c>
      <c r="Q60" s="962">
        <f>Q45-Q58</f>
        <v>112993.18380317575</v>
      </c>
      <c r="S60" s="962">
        <f>S45-S58</f>
        <v>122023.2509893924</v>
      </c>
      <c r="U60" s="962">
        <f>U45-U58</f>
        <v>131129.39192095411</v>
      </c>
      <c r="W60" s="962">
        <f>W45-W58</f>
        <v>140308.26971379376</v>
      </c>
      <c r="Y60" s="962">
        <f>Y45-Y58</f>
        <v>149556.28070627293</v>
      </c>
      <c r="AA60" s="962">
        <f>AA45-AA58</f>
        <v>158869.54137230129</v>
      </c>
      <c r="AC60" s="962">
        <f>AC45-AC58</f>
        <v>168243.87468267337</v>
      </c>
      <c r="AE60" s="962">
        <f>AE45-AE58</f>
        <v>177674.79589296726</v>
      </c>
      <c r="AG60" s="962">
        <f>AG45-AG58</f>
        <v>187157.49773553165</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1</v>
      </c>
      <c r="E62" s="964">
        <f>E60*$C$62</f>
        <v>60566.639999999956</v>
      </c>
      <c r="G62" s="962">
        <f>G60*$C$62</f>
        <v>69083.610400000005</v>
      </c>
      <c r="I62" s="962">
        <f>I60*$C$62</f>
        <v>77691.741964000044</v>
      </c>
      <c r="K62" s="962">
        <f>K60*$C$62</f>
        <v>86389.052012739819</v>
      </c>
      <c r="M62" s="962">
        <f>M60*$C$62</f>
        <v>95173.359140185639</v>
      </c>
      <c r="O62" s="962">
        <f>O60*$C$62</f>
        <v>104042.27302476723</v>
      </c>
      <c r="Q62" s="962">
        <f>Q60*$C$62</f>
        <v>112993.18380317575</v>
      </c>
      <c r="S62" s="962">
        <f>S60*$C$62</f>
        <v>122023.2509893924</v>
      </c>
      <c r="U62" s="962">
        <f>U60*$C$62</f>
        <v>131129.39192095411</v>
      </c>
      <c r="W62" s="962">
        <f>W60*$C$62</f>
        <v>140308.26971379376</v>
      </c>
      <c r="Y62" s="962">
        <f>Y60*$C$62</f>
        <v>149556.28070627293</v>
      </c>
      <c r="AA62" s="962">
        <f>AA60*$C$62</f>
        <v>158869.54137230129</v>
      </c>
      <c r="AC62" s="962">
        <f>AC60*$C$62</f>
        <v>168243.87468267337</v>
      </c>
      <c r="AE62" s="962">
        <f>AE60*$C$62</f>
        <v>177674.79589296726</v>
      </c>
      <c r="AG62" s="962">
        <f>AG60*$C$62</f>
        <v>187157.49773553165</v>
      </c>
    </row>
    <row r="63" spans="1:34" s="962" customFormat="1">
      <c r="A63" s="2694" t="s">
        <v>1185</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92" t="s">
        <v>1722</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972</v>
      </c>
    </row>
    <row r="2" spans="1:1" ht="15.75">
      <c r="A2" s="314"/>
    </row>
    <row r="3" spans="1:1" ht="15.75">
      <c r="A3" s="315" t="s">
        <v>967</v>
      </c>
    </row>
    <row r="4" spans="1:1" ht="15.75">
      <c r="A4" s="315" t="s">
        <v>968</v>
      </c>
    </row>
    <row r="5" spans="1:1" ht="15.75">
      <c r="A5" s="315" t="s">
        <v>969</v>
      </c>
    </row>
    <row r="6" spans="1:1" ht="15.75">
      <c r="A6" s="315" t="s">
        <v>971</v>
      </c>
    </row>
    <row r="7" spans="1:1" ht="15.75">
      <c r="A7" s="315" t="s">
        <v>970</v>
      </c>
    </row>
    <row r="8" spans="1:1" ht="15.75">
      <c r="A8" s="346" t="s">
        <v>1025</v>
      </c>
    </row>
    <row r="9" spans="1:1" ht="15.7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254375</v>
      </c>
      <c r="C8" s="266">
        <f>'Sources and Uses Budget'!$C7</f>
        <v>254375</v>
      </c>
      <c r="D8" s="270">
        <f t="shared" si="0"/>
        <v>0</v>
      </c>
      <c r="E8" s="268"/>
      <c r="F8" s="267"/>
    </row>
    <row r="9" spans="1:6" s="352" customFormat="1">
      <c r="A9" s="365" t="s">
        <v>594</v>
      </c>
      <c r="B9" s="270">
        <f>SUM(B5:B8)</f>
        <v>254375</v>
      </c>
      <c r="C9" s="270">
        <f>SUM(C5:C8)</f>
        <v>254375</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254375</v>
      </c>
      <c r="C13" s="270">
        <f>SUM(C9+C12)</f>
        <v>254375</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3250000</v>
      </c>
      <c r="C30" s="266">
        <f>'Sources and Uses Budget'!$C29</f>
        <v>3250000</v>
      </c>
      <c r="D30" s="270">
        <f t="shared" si="0"/>
        <v>0</v>
      </c>
      <c r="E30" s="268"/>
      <c r="F30" s="267"/>
    </row>
    <row r="31" spans="1:6" s="352" customFormat="1">
      <c r="A31" s="145" t="s">
        <v>600</v>
      </c>
      <c r="B31" s="266">
        <f>'Sources and Uses Budget'!$C30</f>
        <v>10229789</v>
      </c>
      <c r="C31" s="266">
        <f>'Sources and Uses Budget'!$C30</f>
        <v>10229789</v>
      </c>
      <c r="D31" s="270">
        <f t="shared" si="0"/>
        <v>0</v>
      </c>
      <c r="E31" s="268"/>
      <c r="F31" s="267"/>
    </row>
    <row r="32" spans="1:6" s="352" customFormat="1">
      <c r="A32" s="145" t="s">
        <v>601</v>
      </c>
      <c r="B32" s="266">
        <f>'Sources and Uses Budget'!$C31</f>
        <v>801235</v>
      </c>
      <c r="C32" s="266">
        <f>'Sources and Uses Budget'!$C31</f>
        <v>801235</v>
      </c>
      <c r="D32" s="270">
        <f t="shared" si="0"/>
        <v>0</v>
      </c>
      <c r="E32" s="268"/>
      <c r="F32" s="267"/>
    </row>
    <row r="33" spans="1:6" s="352" customFormat="1">
      <c r="A33" s="145" t="s">
        <v>137</v>
      </c>
      <c r="B33" s="266">
        <f>'Sources and Uses Budget'!$C32</f>
        <v>534156</v>
      </c>
      <c r="C33" s="266">
        <f>'Sources and Uses Budget'!$C32</f>
        <v>534156</v>
      </c>
      <c r="D33" s="270">
        <f t="shared" si="0"/>
        <v>0</v>
      </c>
      <c r="E33" s="268"/>
      <c r="F33" s="267"/>
    </row>
    <row r="34" spans="1:6" s="352" customFormat="1">
      <c r="A34" s="145" t="s">
        <v>138</v>
      </c>
      <c r="B34" s="266">
        <f>'Sources and Uses Budget'!$C33</f>
        <v>534156</v>
      </c>
      <c r="C34" s="266">
        <f>'Sources and Uses Budget'!$C33</f>
        <v>534156</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15349336</v>
      </c>
      <c r="C39" s="270">
        <f>SUM(C30:C38)</f>
        <v>15349336</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330000</v>
      </c>
      <c r="C41" s="266">
        <f>'Sources and Uses Budget'!$C40</f>
        <v>330000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330000</v>
      </c>
      <c r="C43" s="270">
        <f>SUM(C41:C42)</f>
        <v>330000</v>
      </c>
      <c r="D43" s="270">
        <f t="shared" si="0"/>
        <v>0</v>
      </c>
      <c r="E43" s="268"/>
      <c r="F43" s="267"/>
    </row>
    <row r="44" spans="1:6" s="352" customFormat="1">
      <c r="A44" s="271" t="s">
        <v>148</v>
      </c>
      <c r="B44" s="266">
        <f>'Sources and Uses Budget'!$C43</f>
        <v>414000</v>
      </c>
      <c r="C44" s="266">
        <f>'Sources and Uses Budget'!$C43</f>
        <v>414000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1470791</v>
      </c>
      <c r="C46" s="266">
        <f>'Sources and Uses Budget'!$C45</f>
        <v>1470791</v>
      </c>
      <c r="D46" s="270">
        <f t="shared" si="0"/>
        <v>0</v>
      </c>
      <c r="E46" s="268"/>
      <c r="F46" s="267"/>
    </row>
    <row r="47" spans="1:6" s="352" customFormat="1">
      <c r="A47" s="145" t="s">
        <v>151</v>
      </c>
      <c r="B47" s="266">
        <f>'Sources and Uses Budget'!$C46</f>
        <v>190000</v>
      </c>
      <c r="C47" s="266">
        <f>'Sources and Uses Budget'!$C46</f>
        <v>190000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155000</v>
      </c>
      <c r="C50" s="266">
        <f>'Sources and Uses Budget'!$C49</f>
        <v>155000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500000</v>
      </c>
      <c r="C53" s="266">
        <f>'Sources and Uses Budget'!$C52</f>
        <v>500000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2365791</v>
      </c>
      <c r="C55" s="273">
        <f>SUM(C46:C54)</f>
        <v>2365791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35000</v>
      </c>
      <c r="C59" s="266">
        <f>'Sources and Uses Budget'!$C58</f>
        <v>35000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35000</v>
      </c>
      <c r="C63" s="270">
        <f>SUM(C57:C62)</f>
        <v>35000</v>
      </c>
      <c r="D63" s="270">
        <f t="shared" si="0"/>
        <v>0</v>
      </c>
      <c r="E63" s="268"/>
      <c r="F63" s="267"/>
    </row>
    <row r="64" spans="1:6" s="352" customFormat="1">
      <c r="A64" s="274" t="s">
        <v>302</v>
      </c>
      <c r="B64" s="270">
        <f>SUM(B9+B12+B14+B15+B17+B26+B28+B39+B43+B44+B55+B63)</f>
        <v>18748502</v>
      </c>
      <c r="C64" s="270">
        <f>SUM(C9+C12+C14+C15+C17+C26+C28+C39+C43+C44+C55+C63)</f>
        <v>18748502</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280000</v>
      </c>
      <c r="C66" s="266">
        <f>'Sources and Uses Budget'!$C65</f>
        <v>280000</v>
      </c>
      <c r="D66" s="270">
        <f t="shared" si="0"/>
        <v>0</v>
      </c>
      <c r="E66" s="268"/>
      <c r="F66" s="267"/>
    </row>
    <row r="67" spans="1:6" s="352" customFormat="1" ht="24">
      <c r="A67" s="283" t="s">
        <v>1642</v>
      </c>
      <c r="B67" s="266">
        <f>'Sources and Uses Budget'!$C66</f>
        <v>0</v>
      </c>
      <c r="C67" s="266">
        <f>'Sources and Uses Budget'!$C66</f>
        <v>0</v>
      </c>
      <c r="D67" s="270"/>
      <c r="E67" s="268"/>
      <c r="F67" s="267"/>
    </row>
    <row r="68" spans="1:6" s="352" customFormat="1" ht="24">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280000</v>
      </c>
      <c r="C71" s="270">
        <f>SUM(C66:C70)</f>
        <v>280000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203000</v>
      </c>
      <c r="C76" s="266">
        <f>'Sources and Uses Budget'!$C75</f>
        <v>203000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203000</v>
      </c>
      <c r="C78" s="270">
        <f>SUM(C73:C77)</f>
        <v>203000</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767466</v>
      </c>
      <c r="C80" s="266">
        <f>'Sources and Uses Budget'!$C79</f>
        <v>767466</v>
      </c>
      <c r="D80" s="270">
        <f t="shared" si="1"/>
        <v>0</v>
      </c>
      <c r="E80" s="268"/>
      <c r="F80" s="267"/>
    </row>
    <row r="81" spans="1:6" s="352" customFormat="1">
      <c r="A81" s="510" t="s">
        <v>58</v>
      </c>
      <c r="B81" s="266">
        <f>'Sources and Uses Budget'!$C80</f>
        <v>365000</v>
      </c>
      <c r="C81" s="266">
        <f>'Sources and Uses Budget'!$C80</f>
        <v>365000</v>
      </c>
      <c r="D81" s="270">
        <f>C81-B81</f>
        <v>0</v>
      </c>
      <c r="E81" s="268"/>
      <c r="F81" s="267"/>
    </row>
    <row r="82" spans="1:6" s="352" customFormat="1">
      <c r="A82" s="271" t="s">
        <v>1210</v>
      </c>
      <c r="B82" s="270">
        <f>SUM(B80:B81)</f>
        <v>1132466</v>
      </c>
      <c r="C82" s="270">
        <f>SUM(C80:C81)</f>
        <v>1132466</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59722</v>
      </c>
      <c r="C84" s="266">
        <f>'Sources and Uses Budget'!$C83</f>
        <v>59722</v>
      </c>
      <c r="D84" s="270">
        <f t="shared" si="1"/>
        <v>0</v>
      </c>
      <c r="E84" s="268"/>
      <c r="F84" s="267"/>
    </row>
    <row r="85" spans="1:6" s="352" customFormat="1">
      <c r="A85" s="269" t="s">
        <v>768</v>
      </c>
      <c r="B85" s="266">
        <f>'Sources and Uses Budget'!$C84</f>
        <v>125000</v>
      </c>
      <c r="C85" s="266">
        <f>'Sources and Uses Budget'!$C84</f>
        <v>125000</v>
      </c>
      <c r="D85" s="270">
        <f t="shared" si="1"/>
        <v>0</v>
      </c>
      <c r="E85" s="268"/>
      <c r="F85" s="267"/>
    </row>
    <row r="86" spans="1:6" s="352" customFormat="1">
      <c r="A86" s="269" t="s">
        <v>769</v>
      </c>
      <c r="B86" s="266">
        <f>'Sources and Uses Budget'!$C85</f>
        <v>1751257</v>
      </c>
      <c r="C86" s="266">
        <f>'Sources and Uses Budget'!$C85</f>
        <v>1751257</v>
      </c>
      <c r="D86" s="270">
        <f t="shared" si="1"/>
        <v>0</v>
      </c>
      <c r="E86" s="268"/>
      <c r="F86" s="267"/>
    </row>
    <row r="87" spans="1:6" s="352" customFormat="1">
      <c r="A87" s="269" t="s">
        <v>770</v>
      </c>
      <c r="B87" s="266">
        <f>'Sources and Uses Budget'!$C86</f>
        <v>646243</v>
      </c>
      <c r="C87" s="266">
        <f>'Sources and Uses Budget'!$C86</f>
        <v>646243</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33000</v>
      </c>
      <c r="C89" s="266">
        <f>'Sources and Uses Budget'!$C88</f>
        <v>33000</v>
      </c>
      <c r="D89" s="270">
        <f t="shared" si="1"/>
        <v>0</v>
      </c>
      <c r="E89" s="268"/>
      <c r="F89" s="267"/>
    </row>
    <row r="90" spans="1:6" s="352" customFormat="1">
      <c r="A90" s="269" t="s">
        <v>773</v>
      </c>
      <c r="B90" s="266">
        <f>'Sources and Uses Budget'!$C89</f>
        <v>0</v>
      </c>
      <c r="C90" s="266">
        <f>'Sources and Uses Budget'!$C89</f>
        <v>0</v>
      </c>
      <c r="D90" s="270">
        <f t="shared" si="1"/>
        <v>0</v>
      </c>
      <c r="E90" s="268"/>
      <c r="F90" s="267"/>
    </row>
    <row r="91" spans="1:6" s="352" customFormat="1">
      <c r="A91" s="269" t="s">
        <v>774</v>
      </c>
      <c r="B91" s="266">
        <f>'Sources and Uses Budget'!$C90</f>
        <v>25000</v>
      </c>
      <c r="C91" s="266">
        <f>'Sources and Uses Budget'!$C90</f>
        <v>25000</v>
      </c>
      <c r="D91" s="270">
        <f t="shared" si="1"/>
        <v>0</v>
      </c>
      <c r="E91" s="268"/>
      <c r="F91" s="267"/>
    </row>
    <row r="92" spans="1:6" s="352" customFormat="1">
      <c r="A92" s="269" t="s">
        <v>372</v>
      </c>
      <c r="B92" s="266">
        <f>'Sources and Uses Budget'!$C91</f>
        <v>35000</v>
      </c>
      <c r="C92" s="266">
        <f>'Sources and Uses Budget'!$C91</f>
        <v>35000</v>
      </c>
      <c r="D92" s="270">
        <f t="shared" si="1"/>
        <v>0</v>
      </c>
      <c r="E92" s="268"/>
      <c r="F92" s="267"/>
    </row>
    <row r="93" spans="1:6" s="352" customFormat="1">
      <c r="A93" s="510" t="s">
        <v>1212</v>
      </c>
      <c r="B93" s="266">
        <f>'Sources and Uses Budget'!$C92</f>
        <v>35000</v>
      </c>
      <c r="C93" s="266">
        <f>'Sources and Uses Budget'!$C92</f>
        <v>35000</v>
      </c>
      <c r="D93" s="270">
        <f t="shared" si="1"/>
        <v>0</v>
      </c>
      <c r="E93" s="268"/>
      <c r="F93" s="267"/>
    </row>
    <row r="94" spans="1:6" s="352" customFormat="1">
      <c r="A94" s="272" t="s">
        <v>34</v>
      </c>
      <c r="B94" s="266">
        <f>'Sources and Uses Budget'!$C93</f>
        <v>150000</v>
      </c>
      <c r="C94" s="266">
        <f>'Sources and Uses Budget'!$C93</f>
        <v>150000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2860222</v>
      </c>
      <c r="C97" s="270">
        <f>SUM(C84:C96)</f>
        <v>2860222</v>
      </c>
      <c r="D97" s="270">
        <f t="shared" si="1"/>
        <v>0</v>
      </c>
      <c r="E97" s="268"/>
      <c r="F97" s="267"/>
    </row>
    <row r="98" spans="1:6" s="352" customFormat="1">
      <c r="A98" s="271" t="s">
        <v>776</v>
      </c>
      <c r="B98" s="270">
        <f>SUM(B64+B71+B78+B82+B97)</f>
        <v>23224190</v>
      </c>
      <c r="C98" s="270">
        <f>SUM(C64+C71+C78+C82+C97)</f>
        <v>23224190</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3260000</v>
      </c>
      <c r="C100" s="266">
        <f>'Sources and Uses Budget'!$C99</f>
        <v>3260000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3260000</v>
      </c>
      <c r="C105" s="270">
        <f>SUM(C100:C104)</f>
        <v>3260000</v>
      </c>
      <c r="D105" s="270">
        <f t="shared" si="1"/>
        <v>0</v>
      </c>
      <c r="E105" s="268"/>
      <c r="F105" s="267"/>
    </row>
    <row r="106" spans="1:6" s="352" customFormat="1">
      <c r="A106" s="271" t="s">
        <v>781</v>
      </c>
      <c r="B106" s="273">
        <f>SUM(B98+B105)</f>
        <v>26484190</v>
      </c>
      <c r="C106" s="273">
        <f>SUM(C98+C105)</f>
        <v>26484190</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1190</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1191</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6" zoomScale="220" zoomScaleNormal="220" workbookViewId="0">
      <selection activeCell="B1123" sqref="B1123"/>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2458</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1102</v>
      </c>
      <c r="B9" s="1308"/>
      <c r="C9" s="1308"/>
      <c r="D9" s="1308"/>
      <c r="E9" s="1308"/>
      <c r="F9" s="1308"/>
      <c r="G9" s="1308"/>
      <c r="H9" s="1028"/>
      <c r="I9" s="1029"/>
    </row>
    <row r="10" spans="1:13">
      <c r="A10" s="482"/>
      <c r="B10" s="482"/>
      <c r="E10" s="404"/>
    </row>
    <row r="11" spans="1:13" ht="13.7" customHeight="1">
      <c r="C11" s="482"/>
      <c r="D11" s="1321" t="s">
        <v>1101</v>
      </c>
      <c r="E11" s="1321"/>
      <c r="F11" s="1321"/>
    </row>
    <row r="12" spans="1:13">
      <c r="C12" s="482"/>
      <c r="D12" s="1321"/>
      <c r="E12" s="1321"/>
      <c r="F12" s="1321"/>
    </row>
    <row r="13" spans="1:13">
      <c r="A13" s="483"/>
      <c r="B13" s="483"/>
      <c r="C13" s="483"/>
      <c r="D13" s="1299" t="s">
        <v>1091</v>
      </c>
      <c r="E13" s="1299"/>
      <c r="F13" s="1299"/>
      <c r="M13" s="96"/>
    </row>
    <row r="14" spans="1:13">
      <c r="A14" s="483"/>
      <c r="B14" s="483"/>
      <c r="C14" s="483"/>
      <c r="D14" s="476"/>
      <c r="L14" s="312"/>
    </row>
    <row r="15" spans="1:13" ht="14.25">
      <c r="A15" s="484"/>
      <c r="B15" s="485" t="s">
        <v>2714</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2714</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2715</v>
      </c>
      <c r="D24" s="1301" t="s">
        <v>1092</v>
      </c>
      <c r="E24" s="1301"/>
      <c r="F24" s="1301"/>
      <c r="I24" s="490"/>
    </row>
    <row r="25" spans="1:9" ht="14.25">
      <c r="A25" s="484"/>
      <c r="B25" s="484"/>
      <c r="D25" s="1301"/>
      <c r="E25" s="1301"/>
      <c r="F25" s="1301"/>
      <c r="I25" s="490"/>
    </row>
    <row r="26" spans="1:9">
      <c r="I26" s="490"/>
    </row>
    <row r="27" spans="1:9" ht="14.25">
      <c r="A27" s="484"/>
      <c r="B27" s="485" t="s">
        <v>2714</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2715</v>
      </c>
      <c r="D33" s="1301" t="s">
        <v>2049</v>
      </c>
      <c r="E33" s="1301"/>
      <c r="F33" s="1301"/>
      <c r="I33" s="490"/>
    </row>
    <row r="34" spans="1:9">
      <c r="D34" s="1301"/>
      <c r="E34" s="1301"/>
      <c r="F34" s="1301"/>
      <c r="I34" s="490"/>
    </row>
    <row r="35" spans="1:9" ht="14.25">
      <c r="A35" s="484"/>
      <c r="B35" s="484"/>
      <c r="D35" s="447"/>
      <c r="I35" s="490"/>
    </row>
    <row r="36" spans="1:9" ht="14.45" customHeight="1">
      <c r="A36" s="484"/>
      <c r="B36" s="485" t="s">
        <v>2714</v>
      </c>
      <c r="D36" s="1301" t="s">
        <v>1215</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2715</v>
      </c>
      <c r="D41" s="1301" t="s">
        <v>1093</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2714</v>
      </c>
      <c r="D47" s="1301" t="s">
        <v>1094</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2715</v>
      </c>
      <c r="D52" s="1301" t="s">
        <v>1095</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2714</v>
      </c>
      <c r="D56" s="1324" t="s">
        <v>1096</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2714</v>
      </c>
      <c r="D61" s="1301" t="s">
        <v>1097</v>
      </c>
      <c r="E61" s="1301"/>
      <c r="F61" s="1301"/>
      <c r="I61" s="490"/>
    </row>
    <row r="62" spans="1:9">
      <c r="D62" s="1301"/>
      <c r="E62" s="1301"/>
      <c r="F62" s="1301"/>
      <c r="I62" s="490"/>
    </row>
    <row r="63" spans="1:9">
      <c r="D63" s="1301"/>
      <c r="E63" s="1301"/>
      <c r="F63" s="1301"/>
      <c r="I63" s="490"/>
    </row>
    <row r="64" spans="1:9">
      <c r="I64" s="490"/>
    </row>
    <row r="65" spans="1:9" ht="14.25">
      <c r="A65" s="484"/>
      <c r="B65" s="485" t="s">
        <v>2715</v>
      </c>
      <c r="D65" s="1301" t="s">
        <v>1098</v>
      </c>
      <c r="E65" s="1301"/>
      <c r="F65" s="1301"/>
      <c r="I65" s="490"/>
    </row>
    <row r="66" spans="1:9">
      <c r="D66" s="1301"/>
      <c r="E66" s="1301"/>
      <c r="F66" s="1301"/>
      <c r="I66" s="490"/>
    </row>
    <row r="67" spans="1:9">
      <c r="I67" s="490"/>
    </row>
    <row r="68" spans="1:9" ht="14.25">
      <c r="A68" s="484"/>
      <c r="B68" s="485" t="s">
        <v>2715</v>
      </c>
      <c r="D68" s="1301" t="s">
        <v>1099</v>
      </c>
      <c r="E68" s="1301"/>
      <c r="F68" s="1301"/>
      <c r="I68" s="490"/>
    </row>
    <row r="69" spans="1:9">
      <c r="D69" s="1301"/>
      <c r="E69" s="1301"/>
      <c r="F69" s="1301"/>
      <c r="I69" s="490"/>
    </row>
    <row r="70" spans="1:9">
      <c r="D70" s="1301"/>
      <c r="E70" s="1301"/>
      <c r="F70" s="1301"/>
      <c r="I70" s="490"/>
    </row>
    <row r="71" spans="1:9">
      <c r="I71" s="490"/>
    </row>
    <row r="72" spans="1:9" ht="14.25">
      <c r="A72" s="484"/>
      <c r="B72" s="485" t="s">
        <v>2714</v>
      </c>
      <c r="D72" s="1301" t="s">
        <v>1100</v>
      </c>
      <c r="E72" s="1301"/>
      <c r="F72" s="1301"/>
      <c r="I72" s="490"/>
    </row>
    <row r="73" spans="1:9">
      <c r="D73" s="1301"/>
      <c r="E73" s="1301"/>
      <c r="F73" s="1301"/>
      <c r="I73" s="490"/>
    </row>
    <row r="74" spans="1:9" ht="14.25">
      <c r="A74" s="484"/>
      <c r="B74" s="484"/>
      <c r="D74" s="446"/>
      <c r="I74" s="490"/>
    </row>
    <row r="75" spans="1:9">
      <c r="A75" s="1308" t="s">
        <v>1045</v>
      </c>
      <c r="B75" s="1308"/>
      <c r="C75" s="1308"/>
      <c r="D75" s="1308"/>
      <c r="E75" s="1308"/>
      <c r="F75" s="1308"/>
      <c r="G75" s="1308"/>
      <c r="H75" s="1028"/>
      <c r="I75" s="1153"/>
    </row>
    <row r="76" spans="1:9">
      <c r="I76" s="490"/>
    </row>
    <row r="77" spans="1:9">
      <c r="C77" s="486"/>
      <c r="D77" s="1317" t="s">
        <v>1103</v>
      </c>
      <c r="E77" s="1317"/>
      <c r="F77" s="1317"/>
      <c r="I77" s="490"/>
    </row>
    <row r="78" spans="1:9">
      <c r="A78" s="446"/>
      <c r="B78" s="446"/>
      <c r="D78" s="1301" t="s">
        <v>1118</v>
      </c>
      <c r="E78" s="1301"/>
      <c r="F78" s="1301"/>
      <c r="I78" s="490"/>
    </row>
    <row r="79" spans="1:9">
      <c r="A79" s="446"/>
      <c r="B79" s="446"/>
      <c r="I79" s="490"/>
    </row>
    <row r="80" spans="1:9" ht="13.7" customHeight="1">
      <c r="A80" s="484"/>
      <c r="B80" s="485" t="s">
        <v>2714</v>
      </c>
      <c r="D80" s="1301" t="s">
        <v>1246</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2714</v>
      </c>
      <c r="D89" s="1301" t="s">
        <v>1743</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2714</v>
      </c>
      <c r="D92" s="1301" t="s">
        <v>1746</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2714</v>
      </c>
      <c r="D96" s="1301" t="s">
        <v>1745</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2715</v>
      </c>
      <c r="D100" s="1301" t="s">
        <v>1744</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2715</v>
      </c>
      <c r="D103" s="1301" t="s">
        <v>1195</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2715</v>
      </c>
      <c r="D119" s="1323" t="s">
        <v>1104</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2714</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2714</v>
      </c>
      <c r="D131" s="1301" t="s">
        <v>1105</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2714</v>
      </c>
      <c r="D137" s="1301" t="s">
        <v>1106</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2714</v>
      </c>
      <c r="D151" s="1301" t="s">
        <v>1178</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2073</v>
      </c>
      <c r="E169" s="1320"/>
      <c r="F169" s="1320"/>
      <c r="G169" s="507"/>
      <c r="I169" s="490"/>
    </row>
    <row r="170" spans="1:9" ht="13.7" customHeight="1">
      <c r="D170" s="1318"/>
      <c r="E170" s="1318"/>
      <c r="F170" s="1318"/>
      <c r="G170" s="1318"/>
      <c r="I170" s="490"/>
    </row>
    <row r="171" spans="1:9" ht="14.45" customHeight="1">
      <c r="A171" s="489"/>
      <c r="B171" s="485" t="s">
        <v>2715</v>
      </c>
      <c r="C171" s="476"/>
      <c r="D171" s="1272" t="s">
        <v>2213</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2715</v>
      </c>
      <c r="C177" s="476"/>
      <c r="D177" s="1272" t="s">
        <v>1107</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2715</v>
      </c>
      <c r="D182" s="1313" t="s">
        <v>2051</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1046</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1747</v>
      </c>
      <c r="E193" s="1317"/>
      <c r="F193" s="1317"/>
      <c r="I193" s="490"/>
    </row>
    <row r="194" spans="1:9">
      <c r="A194" s="404"/>
      <c r="B194" s="404"/>
      <c r="D194" s="1317"/>
      <c r="E194" s="1317"/>
      <c r="F194" s="1317"/>
      <c r="I194" s="490"/>
    </row>
    <row r="195" spans="1:9">
      <c r="A195" s="404"/>
      <c r="B195" s="404"/>
      <c r="D195" s="1303" t="s">
        <v>1196</v>
      </c>
      <c r="E195" s="1303"/>
      <c r="F195" s="1303"/>
      <c r="I195" s="490"/>
    </row>
    <row r="196" spans="1:9">
      <c r="A196" s="404"/>
      <c r="B196" s="404"/>
      <c r="D196" s="392"/>
      <c r="E196" s="392"/>
      <c r="F196" s="392"/>
      <c r="I196" s="490"/>
    </row>
    <row r="197" spans="1:9">
      <c r="A197" s="404"/>
      <c r="B197" s="485" t="s">
        <v>2714</v>
      </c>
      <c r="D197" s="1288" t="s">
        <v>1748</v>
      </c>
      <c r="E197" s="1288"/>
      <c r="F197" s="1288"/>
      <c r="I197" s="490"/>
    </row>
    <row r="198" spans="1:9">
      <c r="A198" s="404"/>
      <c r="B198" s="404"/>
      <c r="D198" s="1287" t="s">
        <v>1902</v>
      </c>
      <c r="E198" s="1287"/>
      <c r="F198" s="1287"/>
      <c r="I198" s="490"/>
    </row>
    <row r="199" spans="1:9">
      <c r="A199" s="404"/>
      <c r="B199" s="404"/>
      <c r="D199" s="96" t="s">
        <v>1749</v>
      </c>
      <c r="E199" s="1325" t="s">
        <v>1925</v>
      </c>
      <c r="F199" s="1325"/>
      <c r="I199" s="490"/>
    </row>
    <row r="200" spans="1:9">
      <c r="A200" s="404"/>
      <c r="B200" s="404"/>
      <c r="D200" s="3"/>
      <c r="E200" s="3"/>
      <c r="F200" s="3"/>
      <c r="I200" s="490"/>
    </row>
    <row r="201" spans="1:9">
      <c r="A201" s="404"/>
      <c r="B201" s="485" t="s">
        <v>2715</v>
      </c>
      <c r="D201" s="1287" t="s">
        <v>1750</v>
      </c>
      <c r="E201" s="1287"/>
      <c r="F201" s="1287"/>
      <c r="I201" s="490"/>
    </row>
    <row r="202" spans="1:9">
      <c r="A202" s="404"/>
      <c r="B202" s="404"/>
      <c r="D202" s="1288" t="s">
        <v>1902</v>
      </c>
      <c r="E202" s="1288"/>
      <c r="F202" s="1288"/>
      <c r="I202" s="490"/>
    </row>
    <row r="203" spans="1:9">
      <c r="A203" s="404"/>
      <c r="B203" s="404"/>
      <c r="D203" s="57" t="s">
        <v>1751</v>
      </c>
      <c r="E203" s="1325" t="s">
        <v>1926</v>
      </c>
      <c r="F203" s="1325"/>
      <c r="I203" s="490"/>
    </row>
    <row r="204" spans="1:9">
      <c r="A204" s="404"/>
      <c r="B204" s="404"/>
      <c r="D204" s="3"/>
      <c r="E204" s="3"/>
      <c r="F204" s="3"/>
      <c r="I204" s="490"/>
    </row>
    <row r="205" spans="1:9">
      <c r="A205" s="404"/>
      <c r="B205" s="485" t="s">
        <v>2715</v>
      </c>
      <c r="D205" s="1287" t="s">
        <v>1752</v>
      </c>
      <c r="E205" s="1287"/>
      <c r="F205" s="1287"/>
      <c r="I205" s="490"/>
    </row>
    <row r="206" spans="1:9">
      <c r="A206" s="404"/>
      <c r="B206" s="404"/>
      <c r="D206" s="1288" t="s">
        <v>1902</v>
      </c>
      <c r="E206" s="1288"/>
      <c r="F206" s="1288"/>
      <c r="I206" s="490"/>
    </row>
    <row r="207" spans="1:9">
      <c r="A207" s="404"/>
      <c r="B207" s="404"/>
      <c r="D207" s="57" t="s">
        <v>1749</v>
      </c>
      <c r="E207" s="1325" t="s">
        <v>1927</v>
      </c>
      <c r="F207" s="1325"/>
      <c r="I207" s="490"/>
    </row>
    <row r="208" spans="1:9">
      <c r="A208" s="404"/>
      <c r="B208" s="404"/>
      <c r="D208" s="392"/>
      <c r="E208" s="392"/>
      <c r="F208" s="392"/>
      <c r="I208" s="490"/>
    </row>
    <row r="209" spans="1:9" ht="14.25" customHeight="1">
      <c r="A209" s="484"/>
      <c r="B209" s="485" t="s">
        <v>2715</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2715</v>
      </c>
      <c r="D213" s="1287" t="s">
        <v>1753</v>
      </c>
      <c r="E213" s="1287"/>
      <c r="F213" s="1287"/>
      <c r="I213" s="490"/>
    </row>
    <row r="214" spans="1:9">
      <c r="D214" s="1288" t="s">
        <v>1902</v>
      </c>
      <c r="E214" s="1288"/>
      <c r="F214" s="1288"/>
      <c r="I214" s="490"/>
    </row>
    <row r="215" spans="1:9">
      <c r="D215" s="57" t="s">
        <v>1749</v>
      </c>
      <c r="E215" s="1325" t="s">
        <v>1929</v>
      </c>
      <c r="F215" s="1325"/>
      <c r="I215" s="490"/>
    </row>
    <row r="216" spans="1:9">
      <c r="D216" s="451"/>
      <c r="E216" s="451"/>
      <c r="F216" s="451"/>
      <c r="I216" s="490"/>
    </row>
    <row r="217" spans="1:9" ht="14.25">
      <c r="A217" s="484"/>
      <c r="B217" s="485" t="s">
        <v>2715</v>
      </c>
      <c r="D217" s="1301" t="s">
        <v>1217</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1047</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1121</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2714</v>
      </c>
      <c r="D228" s="1301" t="s">
        <v>1754</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2714</v>
      </c>
      <c r="D233" s="1301" t="s">
        <v>1755</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1119</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2714</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45" customHeight="1">
      <c r="A250" s="484"/>
      <c r="B250" s="485" t="s">
        <v>2715</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2714</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2714</v>
      </c>
      <c r="D259" s="1301" t="s">
        <v>1120</v>
      </c>
      <c r="E259" s="1301"/>
      <c r="F259" s="1301"/>
      <c r="I259" s="490"/>
    </row>
    <row r="260" spans="1:9" ht="14.25">
      <c r="A260" s="484"/>
      <c r="B260" s="484"/>
      <c r="D260" s="1301"/>
      <c r="E260" s="1301"/>
      <c r="F260" s="1301"/>
      <c r="I260" s="490"/>
    </row>
    <row r="261" spans="1:9">
      <c r="D261" s="491"/>
      <c r="I261" s="490"/>
    </row>
    <row r="262" spans="1:9">
      <c r="A262" s="1308" t="s">
        <v>1048</v>
      </c>
      <c r="B262" s="1308"/>
      <c r="C262" s="1308"/>
      <c r="D262" s="1308"/>
      <c r="E262" s="1308"/>
      <c r="F262" s="1308"/>
      <c r="G262" s="1308"/>
      <c r="H262" s="1028"/>
      <c r="I262" s="1153"/>
    </row>
    <row r="263" spans="1:9">
      <c r="D263" s="491"/>
      <c r="I263" s="490"/>
    </row>
    <row r="264" spans="1:9">
      <c r="C264" s="486"/>
      <c r="D264" s="1309" t="s">
        <v>1122</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2714</v>
      </c>
      <c r="D267" s="1301" t="s">
        <v>1197</v>
      </c>
      <c r="E267" s="1301"/>
      <c r="F267" s="1301"/>
      <c r="I267" s="490"/>
    </row>
    <row r="268" spans="1:9">
      <c r="D268" s="1301"/>
      <c r="E268" s="1301"/>
      <c r="F268" s="1301"/>
      <c r="I268" s="490"/>
    </row>
    <row r="269" spans="1:9">
      <c r="E269" s="1036" t="s">
        <v>1898</v>
      </c>
      <c r="I269" s="490"/>
    </row>
    <row r="270" spans="1:9">
      <c r="D270" s="446"/>
      <c r="E270" s="446"/>
      <c r="F270" s="446"/>
      <c r="I270" s="490"/>
    </row>
    <row r="271" spans="1:9" ht="14.45" customHeight="1">
      <c r="A271" s="484"/>
      <c r="B271" s="485" t="s">
        <v>2715</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2715</v>
      </c>
      <c r="D278" s="1301" t="s">
        <v>1123</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1049</v>
      </c>
      <c r="B282" s="1308"/>
      <c r="C282" s="1308"/>
      <c r="D282" s="1308"/>
      <c r="E282" s="1308"/>
      <c r="F282" s="1308"/>
      <c r="G282" s="1308"/>
      <c r="H282" s="1028"/>
      <c r="I282" s="1153"/>
    </row>
    <row r="283" spans="1:9">
      <c r="D283" s="492"/>
      <c r="E283" s="446"/>
      <c r="F283" s="446"/>
      <c r="I283" s="490"/>
    </row>
    <row r="284" spans="1:9">
      <c r="C284" s="482"/>
      <c r="D284" s="1317" t="s">
        <v>1124</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1125</v>
      </c>
      <c r="E288" s="1326"/>
      <c r="F288" s="1326"/>
      <c r="I288" s="490"/>
    </row>
    <row r="289" spans="1:9">
      <c r="E289" s="446"/>
      <c r="F289" s="446"/>
      <c r="I289" s="490"/>
    </row>
    <row r="290" spans="1:9" ht="14.25">
      <c r="A290" s="484"/>
      <c r="B290" s="485" t="s">
        <v>2715</v>
      </c>
      <c r="D290" s="1301" t="s">
        <v>1126</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2715</v>
      </c>
      <c r="D293" s="1301" t="s">
        <v>1127</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2715</v>
      </c>
      <c r="D297" s="1301" t="s">
        <v>1128</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1050</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1129</v>
      </c>
      <c r="E303" s="1299"/>
      <c r="F303" s="1299"/>
      <c r="I303" s="490"/>
    </row>
    <row r="304" spans="1:9">
      <c r="C304" s="490"/>
      <c r="D304" s="493"/>
      <c r="I304" s="490"/>
    </row>
    <row r="305" spans="1:9">
      <c r="B305" s="485" t="s">
        <v>2715</v>
      </c>
      <c r="D305" s="1299" t="s">
        <v>1130</v>
      </c>
      <c r="E305" s="1299"/>
      <c r="F305" s="1299"/>
      <c r="I305" s="490"/>
    </row>
    <row r="306" spans="1:9" ht="14.25">
      <c r="A306" s="484"/>
      <c r="B306" s="484"/>
      <c r="D306" s="494"/>
      <c r="E306" s="495"/>
      <c r="F306" s="495"/>
      <c r="I306" s="490"/>
    </row>
    <row r="307" spans="1:9" ht="13.7" customHeight="1">
      <c r="B307" s="485" t="s">
        <v>2715</v>
      </c>
      <c r="D307" s="1310" t="s">
        <v>1220</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2715</v>
      </c>
      <c r="D313" s="1310" t="s">
        <v>1131</v>
      </c>
      <c r="E313" s="1310"/>
      <c r="F313" s="1310"/>
      <c r="I313" s="490"/>
    </row>
    <row r="314" spans="1:9">
      <c r="D314" s="1310"/>
      <c r="E314" s="1310"/>
      <c r="F314" s="1310"/>
      <c r="I314" s="490"/>
    </row>
    <row r="315" spans="1:9" ht="14.25">
      <c r="A315" s="484"/>
      <c r="B315" s="484"/>
      <c r="D315" s="494"/>
      <c r="E315" s="495"/>
      <c r="F315" s="495"/>
      <c r="I315" s="490"/>
    </row>
    <row r="316" spans="1:9">
      <c r="B316" s="485" t="s">
        <v>2715</v>
      </c>
      <c r="D316" s="1299" t="s">
        <v>1132</v>
      </c>
      <c r="E316" s="1299"/>
      <c r="F316" s="1299"/>
      <c r="I316" s="490"/>
    </row>
    <row r="317" spans="1:9">
      <c r="E317" s="446"/>
      <c r="F317" s="446"/>
      <c r="I317" s="490"/>
    </row>
    <row r="318" spans="1:9" ht="14.25">
      <c r="A318" s="484"/>
      <c r="B318" s="485" t="s">
        <v>2715</v>
      </c>
      <c r="D318" s="1301" t="s">
        <v>2245</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2715</v>
      </c>
      <c r="D334" s="1301" t="s">
        <v>1133</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2715</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980</v>
      </c>
      <c r="E351" s="1329"/>
      <c r="F351" s="1329"/>
      <c r="G351" s="1027"/>
      <c r="H351" s="1027"/>
      <c r="I351" s="1156"/>
    </row>
    <row r="352" spans="1:9" ht="13.5" thickTop="1">
      <c r="D352" s="1328" t="s">
        <v>2246</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2715</v>
      </c>
      <c r="C355" s="487"/>
      <c r="D355" s="1299" t="s">
        <v>1901</v>
      </c>
      <c r="E355" s="1299"/>
      <c r="F355" s="1299"/>
      <c r="I355" s="490"/>
    </row>
    <row r="356" spans="1:9" ht="12.75" customHeight="1">
      <c r="D356" s="1037"/>
      <c r="E356" s="96" t="s">
        <v>1900</v>
      </c>
      <c r="F356" s="1037"/>
      <c r="I356" s="490"/>
    </row>
    <row r="357" spans="1:9">
      <c r="D357" s="1301" t="s">
        <v>1240</v>
      </c>
      <c r="E357" s="1301"/>
      <c r="F357" s="1301"/>
      <c r="I357" s="490"/>
    </row>
    <row r="358" spans="1:9">
      <c r="D358" s="1301"/>
      <c r="E358" s="1301"/>
      <c r="F358" s="1301"/>
      <c r="I358" s="490"/>
    </row>
    <row r="359" spans="1:9">
      <c r="D359" s="1301"/>
      <c r="E359" s="1301"/>
      <c r="F359" s="1301"/>
      <c r="I359" s="490"/>
    </row>
    <row r="360" spans="1:9" ht="14.25">
      <c r="A360" s="484"/>
      <c r="B360" s="485" t="s">
        <v>2715</v>
      </c>
      <c r="C360" s="476"/>
      <c r="D360" s="1318" t="s">
        <v>2057</v>
      </c>
      <c r="E360" s="1318"/>
      <c r="F360" s="1318"/>
      <c r="I360" s="480"/>
    </row>
    <row r="361" spans="1:9">
      <c r="A361" s="476"/>
      <c r="B361" s="476"/>
      <c r="C361" s="476"/>
      <c r="D361" s="447"/>
      <c r="E361" s="447"/>
      <c r="F361" s="446"/>
      <c r="I361" s="490"/>
    </row>
    <row r="362" spans="1:9">
      <c r="A362" s="476"/>
      <c r="B362" s="485" t="s">
        <v>2715</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2715</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2715</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25">
      <c r="A387" s="484"/>
      <c r="B387" s="485" t="s">
        <v>2715</v>
      </c>
      <c r="C387" s="476"/>
      <c r="D387" s="1272" t="s">
        <v>1134</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1135</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1136</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2715</v>
      </c>
      <c r="C420" s="476"/>
      <c r="D420" s="1272" t="s">
        <v>1137</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2715</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2715</v>
      </c>
      <c r="C429" s="476"/>
      <c r="D429" s="1272" t="s">
        <v>1241</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2715</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2715</v>
      </c>
      <c r="C467" s="487"/>
      <c r="D467" s="1301" t="s">
        <v>1138</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2715</v>
      </c>
      <c r="C471" s="484"/>
      <c r="D471" s="1301" t="s">
        <v>1198</v>
      </c>
      <c r="E471" s="1301"/>
      <c r="F471" s="1301"/>
      <c r="I471" s="490"/>
    </row>
    <row r="472" spans="1:9">
      <c r="D472" s="1301"/>
      <c r="E472" s="1301"/>
      <c r="F472" s="1301"/>
      <c r="I472" s="490"/>
    </row>
    <row r="473" spans="1:9">
      <c r="D473" s="446"/>
      <c r="E473" s="446"/>
      <c r="F473" s="446"/>
      <c r="I473" s="490"/>
    </row>
    <row r="474" spans="1:9" ht="14.25">
      <c r="B474" s="485" t="s">
        <v>2715</v>
      </c>
      <c r="C474" s="484"/>
      <c r="D474" s="1301" t="s">
        <v>1139</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2715</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2715</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2715</v>
      </c>
      <c r="C486" s="402"/>
      <c r="D486" s="1301"/>
      <c r="E486" s="1301"/>
      <c r="F486" s="1301"/>
      <c r="I486" s="490"/>
    </row>
    <row r="487" spans="1:9">
      <c r="A487" s="402"/>
      <c r="C487" s="402"/>
      <c r="D487" s="1301"/>
      <c r="E487" s="1301"/>
      <c r="F487" s="1301"/>
      <c r="I487" s="490"/>
    </row>
    <row r="488" spans="1:9">
      <c r="A488" s="402"/>
      <c r="B488" s="485" t="s">
        <v>2715</v>
      </c>
      <c r="C488" s="402"/>
      <c r="D488" s="1301" t="s">
        <v>1140</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2715</v>
      </c>
      <c r="D494" s="1299" t="s">
        <v>1141</v>
      </c>
      <c r="E494" s="1299"/>
      <c r="F494" s="1299"/>
      <c r="I494" s="490"/>
    </row>
    <row r="495" spans="1:9">
      <c r="A495" s="446"/>
      <c r="B495" s="446"/>
      <c r="I495" s="490"/>
    </row>
    <row r="496" spans="1:9">
      <c r="A496" s="1308" t="s">
        <v>1051</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1142</v>
      </c>
      <c r="E499" s="1318"/>
      <c r="F499" s="1318"/>
      <c r="I499" s="490"/>
    </row>
    <row r="500" spans="1:9" ht="14.25">
      <c r="A500" s="484"/>
      <c r="B500" s="484"/>
      <c r="D500" s="447"/>
      <c r="I500" s="490"/>
    </row>
    <row r="501" spans="1:9" ht="14.25">
      <c r="A501" s="484"/>
      <c r="B501" s="485" t="s">
        <v>2715</v>
      </c>
      <c r="D501" s="1272" t="s">
        <v>1143</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2715</v>
      </c>
      <c r="D504" s="1313" t="s">
        <v>1274</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2715</v>
      </c>
      <c r="D509" s="1299" t="s">
        <v>1144</v>
      </c>
      <c r="E509" s="1299"/>
      <c r="F509" s="1299"/>
      <c r="I509" s="490"/>
    </row>
    <row r="510" spans="1:9" ht="14.25">
      <c r="A510" s="484"/>
      <c r="B510" s="484"/>
      <c r="D510" s="446"/>
      <c r="I510" s="490"/>
    </row>
    <row r="511" spans="1:9" ht="14.25">
      <c r="A511" s="484"/>
      <c r="B511" s="485" t="s">
        <v>2715</v>
      </c>
      <c r="D511" s="1301" t="s">
        <v>1145</v>
      </c>
      <c r="E511" s="1301"/>
      <c r="F511" s="1301"/>
      <c r="I511" s="490"/>
    </row>
    <row r="512" spans="1:9" ht="14.25">
      <c r="A512" s="484"/>
      <c r="D512" s="1301"/>
      <c r="E512" s="1301"/>
      <c r="F512" s="1301"/>
      <c r="I512" s="490"/>
    </row>
    <row r="513" spans="1:9">
      <c r="A513" s="490"/>
      <c r="B513" s="490"/>
      <c r="D513" s="447"/>
      <c r="I513" s="490"/>
    </row>
    <row r="514" spans="1:9">
      <c r="A514" s="490"/>
      <c r="B514" s="485" t="s">
        <v>2715</v>
      </c>
      <c r="D514" s="1299" t="s">
        <v>1146</v>
      </c>
      <c r="E514" s="1299"/>
      <c r="F514" s="1299"/>
      <c r="I514" s="490"/>
    </row>
    <row r="515" spans="1:9">
      <c r="D515" s="446"/>
      <c r="E515" s="446"/>
      <c r="F515" s="446"/>
      <c r="I515" s="490"/>
    </row>
    <row r="516" spans="1:9">
      <c r="B516" s="485" t="s">
        <v>2715</v>
      </c>
      <c r="D516" s="1301" t="s">
        <v>2280</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1052</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 customHeight="1">
      <c r="A527" s="483"/>
      <c r="B527" s="485" t="s">
        <v>2714</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2714</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2715</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1053</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1054</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1082</v>
      </c>
      <c r="E546" s="1299"/>
      <c r="F546" s="1299"/>
      <c r="I546" s="490"/>
    </row>
    <row r="547" spans="1:9">
      <c r="C547" s="487"/>
      <c r="D547" s="446"/>
      <c r="E547" s="446"/>
      <c r="F547" s="446"/>
      <c r="I547" s="490"/>
    </row>
    <row r="548" spans="1:9" ht="13.7" customHeight="1">
      <c r="A548" s="484"/>
      <c r="B548" s="485" t="s">
        <v>2714</v>
      </c>
      <c r="C548" s="487"/>
      <c r="D548" s="1299" t="s">
        <v>885</v>
      </c>
      <c r="E548" s="1299"/>
      <c r="F548" s="1299"/>
      <c r="I548" s="490"/>
    </row>
    <row r="549" spans="1:9" ht="13.7" customHeight="1">
      <c r="A549" s="487"/>
      <c r="B549" s="487"/>
      <c r="C549" s="487"/>
      <c r="D549" s="446"/>
      <c r="I549" s="490"/>
    </row>
    <row r="550" spans="1:9" ht="14.25">
      <c r="A550" s="484"/>
      <c r="B550" s="485" t="s">
        <v>2714</v>
      </c>
      <c r="C550" s="487"/>
      <c r="D550" s="1301" t="s">
        <v>1083</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2714</v>
      </c>
      <c r="C553" s="487"/>
      <c r="D553" s="1301" t="s">
        <v>1084</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2714</v>
      </c>
      <c r="C556" s="487"/>
      <c r="D556" s="1301" t="s">
        <v>1085</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2714</v>
      </c>
      <c r="C559" s="487"/>
      <c r="D559" s="1301" t="s">
        <v>1086</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2715</v>
      </c>
      <c r="C563" s="487"/>
      <c r="D563" s="1301" t="s">
        <v>2247</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2715</v>
      </c>
      <c r="C566" s="487"/>
      <c r="D566" s="1301" t="s">
        <v>1087</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2714</v>
      </c>
      <c r="C569" s="487"/>
      <c r="D569" s="1299" t="s">
        <v>1088</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2714</v>
      </c>
      <c r="C573" s="487"/>
      <c r="D573" s="1299" t="s">
        <v>1089</v>
      </c>
      <c r="E573" s="1299"/>
      <c r="F573" s="1299"/>
      <c r="I573" s="490"/>
    </row>
    <row r="574" spans="1:9">
      <c r="C574" s="487"/>
      <c r="D574" s="1301" t="s">
        <v>1090</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2714</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1055</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1068</v>
      </c>
      <c r="E586" s="1313"/>
      <c r="F586" s="1313"/>
      <c r="I586" s="490"/>
    </row>
    <row r="587" spans="1:9">
      <c r="A587" s="402"/>
      <c r="B587" s="402"/>
      <c r="C587" s="483"/>
      <c r="D587" s="499"/>
      <c r="I587" s="490"/>
    </row>
    <row r="588" spans="1:9">
      <c r="A588" s="483"/>
      <c r="B588" s="485" t="s">
        <v>2714</v>
      </c>
      <c r="D588" s="1313" t="s">
        <v>889</v>
      </c>
      <c r="E588" s="1313"/>
      <c r="F588" s="1313"/>
      <c r="I588" s="490"/>
    </row>
    <row r="589" spans="1:9">
      <c r="A589" s="490"/>
      <c r="B589" s="490"/>
      <c r="D589" s="476"/>
      <c r="I589" s="490"/>
    </row>
    <row r="590" spans="1:9">
      <c r="A590" s="490"/>
      <c r="B590" s="485" t="s">
        <v>2714</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2714</v>
      </c>
      <c r="D594" s="1313" t="s">
        <v>1069</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2714</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2715</v>
      </c>
      <c r="D602" s="1313" t="s">
        <v>1070</v>
      </c>
      <c r="E602" s="1313"/>
      <c r="F602" s="1313"/>
      <c r="I602" s="490"/>
    </row>
    <row r="603" spans="1:9">
      <c r="A603" s="490"/>
      <c r="B603" s="490"/>
      <c r="D603" s="1313"/>
      <c r="E603" s="1313"/>
      <c r="F603" s="1313"/>
      <c r="I603" s="490"/>
    </row>
    <row r="604" spans="1:9" ht="14.25">
      <c r="A604" s="484"/>
      <c r="B604" s="484"/>
      <c r="D604" s="499"/>
      <c r="I604" s="490"/>
    </row>
    <row r="605" spans="1:9">
      <c r="A605" s="1308" t="s">
        <v>1056</v>
      </c>
      <c r="B605" s="1308"/>
      <c r="C605" s="1308"/>
      <c r="D605" s="1308"/>
      <c r="E605" s="1308"/>
      <c r="F605" s="1308"/>
      <c r="G605" s="1308"/>
      <c r="H605" s="1028"/>
      <c r="I605" s="1153"/>
    </row>
    <row r="606" spans="1:9">
      <c r="I606" s="490"/>
    </row>
    <row r="607" spans="1:9">
      <c r="D607" s="1309" t="s">
        <v>1108</v>
      </c>
      <c r="E607" s="1309"/>
      <c r="F607" s="1309"/>
      <c r="I607" s="490"/>
    </row>
    <row r="608" spans="1:9">
      <c r="D608" s="1281" t="s">
        <v>1109</v>
      </c>
      <c r="E608" s="1281"/>
      <c r="F608" s="1281"/>
      <c r="I608" s="490"/>
    </row>
    <row r="609" spans="1:9">
      <c r="D609" s="444"/>
      <c r="I609" s="490"/>
    </row>
    <row r="610" spans="1:9" ht="14.25" customHeight="1">
      <c r="A610" s="484"/>
      <c r="B610" s="485" t="s">
        <v>2714</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1057</v>
      </c>
      <c r="B614" s="1308"/>
      <c r="C614" s="1308"/>
      <c r="D614" s="1308"/>
      <c r="E614" s="1308"/>
      <c r="F614" s="1308"/>
      <c r="G614" s="1308"/>
      <c r="H614" s="1028"/>
      <c r="I614" s="1153"/>
    </row>
    <row r="615" spans="1:9">
      <c r="A615" s="446"/>
      <c r="B615" s="446"/>
      <c r="I615" s="490"/>
    </row>
    <row r="616" spans="1:9">
      <c r="A616" s="482"/>
      <c r="B616" s="482"/>
      <c r="C616" s="482"/>
      <c r="D616" s="1298" t="s">
        <v>1110</v>
      </c>
      <c r="E616" s="1298"/>
      <c r="F616" s="1298"/>
      <c r="I616" s="490"/>
    </row>
    <row r="617" spans="1:9">
      <c r="A617" s="482"/>
      <c r="B617" s="482"/>
      <c r="C617" s="482"/>
      <c r="D617" s="1298"/>
      <c r="E617" s="1298"/>
      <c r="F617" s="1298"/>
      <c r="I617" s="490"/>
    </row>
    <row r="618" spans="1:9">
      <c r="C618" s="483"/>
      <c r="D618" s="1281" t="s">
        <v>1111</v>
      </c>
      <c r="E618" s="1281"/>
      <c r="F618" s="1281"/>
      <c r="I618" s="490"/>
    </row>
    <row r="619" spans="1:9">
      <c r="C619" s="483"/>
      <c r="D619" s="444"/>
      <c r="E619" s="444"/>
      <c r="F619" s="444"/>
      <c r="I619" s="490"/>
    </row>
    <row r="620" spans="1:9" ht="12.75" customHeight="1">
      <c r="A620" s="490"/>
      <c r="B620" s="485" t="s">
        <v>2714</v>
      </c>
      <c r="D620" s="1307" t="s">
        <v>1112</v>
      </c>
      <c r="E620" s="1307"/>
      <c r="F620" s="1307"/>
      <c r="I620" s="490"/>
    </row>
    <row r="621" spans="1:9">
      <c r="D621" s="1307"/>
      <c r="E621" s="1307"/>
      <c r="F621" s="1307"/>
      <c r="I621" s="490"/>
    </row>
    <row r="622" spans="1:9">
      <c r="I622" s="490"/>
    </row>
    <row r="623" spans="1:9">
      <c r="B623" s="485" t="s">
        <v>2714</v>
      </c>
      <c r="D623" s="1307" t="s">
        <v>1113</v>
      </c>
      <c r="E623" s="1307"/>
      <c r="F623" s="1307"/>
      <c r="I623" s="490"/>
    </row>
    <row r="624" spans="1:9">
      <c r="C624" s="500"/>
      <c r="D624" s="1307"/>
      <c r="E624" s="1307"/>
      <c r="F624" s="1307"/>
      <c r="I624" s="490"/>
    </row>
    <row r="625" spans="1:9">
      <c r="C625" s="500"/>
      <c r="I625" s="490"/>
    </row>
    <row r="626" spans="1:9">
      <c r="B626" s="485" t="s">
        <v>2715</v>
      </c>
      <c r="C626" s="500"/>
      <c r="D626" s="1307" t="s">
        <v>1114</v>
      </c>
      <c r="E626" s="1307"/>
      <c r="F626" s="1307"/>
      <c r="I626" s="490"/>
    </row>
    <row r="627" spans="1:9">
      <c r="C627" s="500"/>
      <c r="D627" s="1307"/>
      <c r="E627" s="1307"/>
      <c r="F627" s="1307"/>
      <c r="I627" s="500"/>
    </row>
    <row r="628" spans="1:9">
      <c r="C628" s="500"/>
      <c r="I628" s="490"/>
    </row>
    <row r="629" spans="1:9">
      <c r="A629" s="1308" t="s">
        <v>1058</v>
      </c>
      <c r="B629" s="1308"/>
      <c r="C629" s="1308"/>
      <c r="D629" s="1308"/>
      <c r="E629" s="1308"/>
      <c r="F629" s="1308"/>
      <c r="G629" s="1308"/>
      <c r="H629" s="1028"/>
      <c r="I629" s="1153"/>
    </row>
    <row r="630" spans="1:9">
      <c r="A630" s="482"/>
      <c r="B630" s="482"/>
      <c r="C630" s="482"/>
      <c r="I630" s="490"/>
    </row>
    <row r="631" spans="1:9">
      <c r="C631" s="490"/>
      <c r="D631" s="1309" t="s">
        <v>1115</v>
      </c>
      <c r="E631" s="1309"/>
      <c r="F631" s="1309"/>
      <c r="I631" s="490"/>
    </row>
    <row r="632" spans="1:9">
      <c r="A632" s="490"/>
      <c r="B632" s="490"/>
      <c r="D632" s="404"/>
      <c r="I632" s="490"/>
    </row>
    <row r="633" spans="1:9" ht="14.25" customHeight="1">
      <c r="A633" s="484"/>
      <c r="B633" s="485" t="s">
        <v>2714</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2715</v>
      </c>
      <c r="D640" s="1301" t="s">
        <v>1116</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2715</v>
      </c>
      <c r="C643" s="487"/>
      <c r="D643" s="1301" t="s">
        <v>1226</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2715</v>
      </c>
      <c r="C646" s="487"/>
      <c r="D646" s="1299" t="s">
        <v>1117</v>
      </c>
      <c r="E646" s="1299"/>
      <c r="F646" s="1299"/>
      <c r="I646" s="490"/>
    </row>
    <row r="647" spans="1:9">
      <c r="A647" s="487"/>
      <c r="B647" s="487"/>
      <c r="C647" s="487"/>
      <c r="D647" s="446"/>
      <c r="E647" s="446"/>
      <c r="F647" s="446"/>
      <c r="I647" s="490"/>
    </row>
    <row r="648" spans="1:9">
      <c r="A648" s="1308" t="s">
        <v>1059</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1147</v>
      </c>
      <c r="E650" s="1309"/>
      <c r="F650" s="1309"/>
      <c r="I650" s="490"/>
    </row>
    <row r="651" spans="1:9">
      <c r="A651" s="483"/>
      <c r="B651" s="483"/>
      <c r="C651" s="483"/>
      <c r="D651" s="1299" t="s">
        <v>1148</v>
      </c>
      <c r="E651" s="1299"/>
      <c r="F651" s="1299"/>
      <c r="I651" s="490"/>
    </row>
    <row r="652" spans="1:9">
      <c r="A652" s="483"/>
      <c r="B652" s="483"/>
      <c r="C652" s="483"/>
      <c r="D652" s="446"/>
      <c r="E652" s="446"/>
      <c r="F652" s="446"/>
      <c r="I652" s="490"/>
    </row>
    <row r="653" spans="1:9" ht="12.75" customHeight="1">
      <c r="B653" s="485" t="s">
        <v>2715</v>
      </c>
      <c r="C653" s="487"/>
      <c r="D653" s="1301" t="s">
        <v>1282</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2715</v>
      </c>
      <c r="C658" s="487"/>
      <c r="D658" s="1301" t="s">
        <v>1284</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2715</v>
      </c>
      <c r="C664" s="487"/>
      <c r="D664" s="1301" t="s">
        <v>1283</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2715</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1060</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1077</v>
      </c>
      <c r="E683" s="1299"/>
      <c r="F683" s="1299"/>
      <c r="H683" s="501"/>
      <c r="I683" s="483"/>
      <c r="J683" s="501"/>
      <c r="K683" s="501"/>
    </row>
    <row r="684" spans="1:11">
      <c r="A684" s="483"/>
      <c r="B684" s="483"/>
      <c r="C684" s="483"/>
      <c r="H684" s="501"/>
      <c r="I684" s="483"/>
      <c r="J684" s="501"/>
      <c r="K684" s="501"/>
    </row>
    <row r="685" spans="1:11" ht="14.25">
      <c r="A685" s="484"/>
      <c r="B685" s="485" t="s">
        <v>2714</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2714</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2715</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2715</v>
      </c>
      <c r="C698" s="483"/>
      <c r="D698" s="1299" t="s">
        <v>2469</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25">
      <c r="A702" s="484"/>
      <c r="B702" s="485" t="s">
        <v>2715</v>
      </c>
      <c r="C702" s="483"/>
      <c r="D702" s="1301" t="s">
        <v>2244</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2715</v>
      </c>
      <c r="C709" s="483"/>
      <c r="D709" s="1301" t="s">
        <v>1202</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2715</v>
      </c>
      <c r="C712" s="483"/>
      <c r="D712" s="1301" t="s">
        <v>1078</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2715</v>
      </c>
      <c r="C725" s="483"/>
      <c r="D725" s="1301" t="s">
        <v>2462</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2715</v>
      </c>
      <c r="C729" s="483"/>
      <c r="D729" s="1301" t="s">
        <v>2461</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2715</v>
      </c>
      <c r="C733" s="483"/>
      <c r="D733" s="1301" t="s">
        <v>2460</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2715</v>
      </c>
      <c r="C738" s="483"/>
      <c r="D738" s="1301" t="s">
        <v>1079</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2715</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1061</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1071</v>
      </c>
      <c r="E755" s="1317"/>
      <c r="F755" s="1317"/>
      <c r="G755" s="501"/>
      <c r="H755" s="501"/>
      <c r="I755" s="483"/>
      <c r="J755" s="501"/>
      <c r="K755" s="501"/>
    </row>
    <row r="756" spans="1:11">
      <c r="A756" s="483"/>
      <c r="B756" s="483"/>
      <c r="C756" s="483"/>
      <c r="D756" s="1303" t="s">
        <v>1072</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2714</v>
      </c>
      <c r="D758" s="1301" t="s">
        <v>1073</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2714</v>
      </c>
      <c r="C765" s="504"/>
      <c r="D765" s="1301" t="s">
        <v>1242</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2715</v>
      </c>
      <c r="C770" s="504"/>
      <c r="D770" s="1307" t="s">
        <v>1243</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2715</v>
      </c>
      <c r="D774" s="1301" t="s">
        <v>1199</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2715</v>
      </c>
      <c r="D777" s="1301" t="s">
        <v>1216</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1802</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1756</v>
      </c>
      <c r="E784" s="1318"/>
      <c r="F784" s="1318"/>
      <c r="G784" s="3"/>
      <c r="I784" s="490"/>
    </row>
    <row r="785" spans="1:9">
      <c r="A785" s="57"/>
      <c r="B785" s="57"/>
      <c r="C785" s="354"/>
      <c r="D785" s="447"/>
      <c r="E785" s="447"/>
      <c r="F785" s="447"/>
      <c r="G785" s="3"/>
      <c r="I785" s="490"/>
    </row>
    <row r="786" spans="1:9">
      <c r="A786" s="57"/>
      <c r="B786" s="485" t="s">
        <v>2714</v>
      </c>
      <c r="C786" s="354"/>
      <c r="D786" s="1294" t="s">
        <v>1757</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2715</v>
      </c>
      <c r="C790" s="172"/>
      <c r="D790" s="1294" t="s">
        <v>1758</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2715</v>
      </c>
      <c r="C794" s="989"/>
      <c r="D794" s="1294" t="s">
        <v>1759</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2715</v>
      </c>
      <c r="C798" s="989"/>
      <c r="D798" s="1294" t="s">
        <v>1760</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1803</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2715</v>
      </c>
      <c r="C808" s="989"/>
      <c r="D808" s="1294" t="s">
        <v>1761</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2715</v>
      </c>
      <c r="C815" s="989"/>
      <c r="D815" s="1294" t="s">
        <v>1762</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2715</v>
      </c>
      <c r="C822" s="989"/>
      <c r="D822" s="1289" t="s">
        <v>1763</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1764</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1804</v>
      </c>
      <c r="E831" s="1305"/>
      <c r="F831" s="130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2714</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2714</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2715</v>
      </c>
      <c r="C852" s="989"/>
      <c r="D852" s="1305" t="s">
        <v>1768</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2715</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2715</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1805</v>
      </c>
      <c r="E872" s="1295"/>
      <c r="F872" s="1295"/>
      <c r="G872" s="988"/>
      <c r="I872" s="490"/>
    </row>
    <row r="873" spans="1:9" ht="12.75" customHeight="1">
      <c r="A873" s="354"/>
      <c r="B873" s="354"/>
      <c r="C873" s="174"/>
      <c r="D873" s="1304" t="s">
        <v>1773</v>
      </c>
      <c r="E873" s="1304"/>
      <c r="F873" s="1304"/>
      <c r="G873" s="988"/>
      <c r="I873" s="490"/>
    </row>
    <row r="874" spans="1:9" ht="12.75" customHeight="1">
      <c r="A874" s="354"/>
      <c r="B874" s="354"/>
      <c r="C874" s="174"/>
      <c r="D874" s="995"/>
      <c r="E874" s="995"/>
      <c r="F874" s="995"/>
      <c r="G874" s="988"/>
      <c r="I874" s="490"/>
    </row>
    <row r="875" spans="1:9" ht="12.75" customHeight="1">
      <c r="A875" s="175"/>
      <c r="B875" s="485" t="s">
        <v>2714</v>
      </c>
      <c r="C875" s="354"/>
      <c r="D875" s="1288" t="s">
        <v>1774</v>
      </c>
      <c r="E875" s="1288"/>
      <c r="F875" s="1288"/>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2714</v>
      </c>
      <c r="C878" s="354"/>
      <c r="D878" s="1262" t="s">
        <v>1775</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2715</v>
      </c>
      <c r="C881" s="354"/>
      <c r="D881" s="1312" t="s">
        <v>1776</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2715</v>
      </c>
      <c r="C890" s="354"/>
      <c r="D890" s="1287" t="s">
        <v>1769</v>
      </c>
      <c r="E890" s="1287"/>
      <c r="F890" s="1287"/>
      <c r="G890" s="988"/>
      <c r="I890" s="490"/>
    </row>
    <row r="891" spans="1:9" ht="12.75" customHeight="1">
      <c r="A891" s="175"/>
      <c r="B891" s="175"/>
      <c r="C891" s="354"/>
      <c r="D891" s="1287" t="s">
        <v>1770</v>
      </c>
      <c r="E891" s="1287"/>
      <c r="F891" s="1287"/>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2715</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1806</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1812</v>
      </c>
      <c r="E901" s="1283"/>
      <c r="F901" s="1283"/>
      <c r="G901" s="57"/>
      <c r="I901" s="490"/>
    </row>
    <row r="902" spans="1:9" ht="12.75" customHeight="1">
      <c r="A902" s="57"/>
      <c r="B902" s="57"/>
      <c r="C902" s="57"/>
      <c r="D902" s="981"/>
      <c r="E902" s="981"/>
      <c r="F902" s="981"/>
      <c r="G902" s="57"/>
      <c r="I902" s="490"/>
    </row>
    <row r="903" spans="1:9" ht="12.75" customHeight="1">
      <c r="A903" s="57"/>
      <c r="B903" s="485" t="s">
        <v>2714</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1807</v>
      </c>
      <c r="E905" s="1283"/>
      <c r="F905" s="1283"/>
      <c r="G905" s="988"/>
      <c r="I905" s="490"/>
    </row>
    <row r="906" spans="1:9" ht="12.75" customHeight="1">
      <c r="A906" s="172"/>
      <c r="B906" s="172"/>
      <c r="C906" s="172"/>
      <c r="D906" s="1288" t="s">
        <v>1777</v>
      </c>
      <c r="E906" s="1288"/>
      <c r="F906" s="1288"/>
      <c r="G906" s="988"/>
      <c r="I906" s="490"/>
    </row>
    <row r="907" spans="1:9" ht="12.75" customHeight="1">
      <c r="A907" s="989"/>
      <c r="B907" s="989"/>
      <c r="C907" s="989"/>
      <c r="D907" s="2"/>
      <c r="E907" s="988"/>
      <c r="F907" s="988"/>
      <c r="G907" s="988"/>
      <c r="I907" s="490"/>
    </row>
    <row r="908" spans="1:9" ht="12.75" customHeight="1">
      <c r="A908" s="175"/>
      <c r="B908" s="485" t="s">
        <v>2714</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2714</v>
      </c>
      <c r="C913" s="174"/>
      <c r="D913" s="1273" t="s">
        <v>1778</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2715</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2715</v>
      </c>
      <c r="C925" s="989"/>
      <c r="D925" s="1289" t="s">
        <v>1783</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2715</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2715</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2715</v>
      </c>
      <c r="C934" s="998"/>
      <c r="D934" s="1273" t="s">
        <v>1779</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2714</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2714</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2715</v>
      </c>
      <c r="C959" s="989"/>
      <c r="D959" s="1289" t="s">
        <v>1784</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2715</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1785</v>
      </c>
      <c r="E969" s="1295"/>
      <c r="F969" s="1295"/>
      <c r="G969" s="3"/>
      <c r="I969" s="490"/>
    </row>
    <row r="970" spans="1:9" ht="12.75" customHeight="1">
      <c r="A970" s="175"/>
      <c r="B970" s="485" t="s">
        <v>2715</v>
      </c>
      <c r="C970" s="354"/>
      <c r="D970" s="1288" t="s">
        <v>1808</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1786</v>
      </c>
      <c r="E972" s="1295"/>
      <c r="F972" s="1295"/>
      <c r="G972"/>
      <c r="I972" s="490"/>
    </row>
    <row r="973" spans="1:9" ht="12.75" customHeight="1">
      <c r="A973" s="175"/>
      <c r="B973" s="485" t="s">
        <v>2715</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1787</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1809</v>
      </c>
      <c r="E991" s="1295"/>
      <c r="F991" s="1295"/>
      <c r="G991" s="3"/>
      <c r="I991" s="490"/>
    </row>
    <row r="992" spans="1:9" ht="12.75" customHeight="1">
      <c r="A992" s="172"/>
      <c r="B992" s="172"/>
      <c r="C992" s="172"/>
      <c r="D992" s="1288" t="s">
        <v>1788</v>
      </c>
      <c r="E992" s="1288"/>
      <c r="F992" s="1288"/>
      <c r="G992" s="3"/>
      <c r="I992" s="490"/>
    </row>
    <row r="993" spans="1:9" ht="12.75" customHeight="1">
      <c r="A993" s="172"/>
      <c r="B993" s="172"/>
      <c r="C993" s="172"/>
      <c r="D993" s="3"/>
      <c r="E993" s="3"/>
      <c r="F993" s="988"/>
      <c r="G993"/>
      <c r="I993" s="490"/>
    </row>
    <row r="994" spans="1:9" ht="12.75" customHeight="1">
      <c r="A994" s="354"/>
      <c r="B994" s="485" t="s">
        <v>2714</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2715</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2715</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2715</v>
      </c>
      <c r="C1010" s="354"/>
      <c r="D1010" s="1288" t="s">
        <v>1790</v>
      </c>
      <c r="E1010" s="1288"/>
      <c r="F1010" s="1288"/>
      <c r="G1010"/>
      <c r="I1010" s="490"/>
    </row>
    <row r="1011" spans="1:9" ht="12.75" customHeight="1">
      <c r="A1011" s="354"/>
      <c r="B1011" s="354"/>
      <c r="C1011" s="354"/>
      <c r="D1011" s="3"/>
      <c r="E1011" s="3"/>
      <c r="F1011" s="3"/>
      <c r="G1011"/>
      <c r="I1011" s="490"/>
    </row>
    <row r="1012" spans="1:9" ht="12.75" customHeight="1">
      <c r="A1012" s="175"/>
      <c r="B1012" s="485" t="s">
        <v>2715</v>
      </c>
      <c r="C1012" s="354"/>
      <c r="D1012" s="1288" t="s">
        <v>1791</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2714</v>
      </c>
      <c r="C1014" s="354"/>
      <c r="D1014" s="1288" t="s">
        <v>1792</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2714</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2715</v>
      </c>
      <c r="C1019" s="1000"/>
      <c r="D1019" s="1294" t="s">
        <v>1794</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2715</v>
      </c>
      <c r="C1022" s="1000"/>
      <c r="D1022" s="1284" t="s">
        <v>1795</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2715</v>
      </c>
      <c r="C1024" s="354"/>
      <c r="D1024" s="1288" t="s">
        <v>1796</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2715</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1798</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1799</v>
      </c>
      <c r="E1031" s="1283"/>
      <c r="F1031" s="1283"/>
      <c r="G1031" s="3"/>
      <c r="I1031" s="490"/>
    </row>
    <row r="1032" spans="1:9" ht="12.75" customHeight="1">
      <c r="A1032" s="354"/>
      <c r="B1032" s="354"/>
      <c r="C1032" s="354"/>
      <c r="D1032" s="1284" t="s">
        <v>1800</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1814</v>
      </c>
      <c r="E1034" s="1283"/>
      <c r="F1034" s="1283"/>
      <c r="G1034" s="3"/>
      <c r="I1034" s="490"/>
    </row>
    <row r="1035" spans="1:9" ht="12.75" customHeight="1">
      <c r="A1035" s="354"/>
      <c r="B1035" s="485" t="s">
        <v>2714</v>
      </c>
      <c r="C1035" s="354"/>
      <c r="D1035" s="1284" t="s">
        <v>1272</v>
      </c>
      <c r="E1035" s="1284"/>
      <c r="F1035" s="1284"/>
      <c r="G1035" s="3"/>
      <c r="I1035" s="490"/>
    </row>
    <row r="1036" spans="1:9" ht="12.75" customHeight="1">
      <c r="A1036" s="354"/>
      <c r="B1036" s="175"/>
      <c r="C1036" s="354"/>
      <c r="D1036" s="1284" t="s">
        <v>1801</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1810</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1273</v>
      </c>
      <c r="E1040" s="1282"/>
      <c r="F1040" s="1282"/>
      <c r="G1040" s="3"/>
      <c r="I1040" s="490"/>
    </row>
    <row r="1041" spans="1:9" ht="12.75" hidden="1" customHeight="1">
      <c r="A1041" s="118"/>
      <c r="B1041" s="485" t="s">
        <v>307</v>
      </c>
      <c r="D1041" s="1281" t="s">
        <v>1272</v>
      </c>
      <c r="E1041" s="1281"/>
      <c r="F1041" s="1281"/>
      <c r="G1041" s="3"/>
      <c r="I1041" s="490"/>
    </row>
    <row r="1042" spans="1:9" ht="12.75" hidden="1" customHeight="1">
      <c r="A1042" s="118"/>
      <c r="B1042" s="402"/>
      <c r="D1042" s="1281" t="s">
        <v>1811</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1067</v>
      </c>
      <c r="E1044" s="1286"/>
      <c r="F1044" s="1286"/>
      <c r="G1044" s="3"/>
      <c r="I1044" s="490"/>
    </row>
    <row r="1045" spans="1:9" ht="12.75" customHeight="1">
      <c r="A1045" s="319"/>
      <c r="B1045" s="319"/>
      <c r="C1045" s="319"/>
      <c r="D1045" s="1287" t="s">
        <v>2248</v>
      </c>
      <c r="E1045" s="1287"/>
      <c r="F1045" s="1287"/>
      <c r="G1045" s="98"/>
      <c r="I1045" s="490"/>
    </row>
    <row r="1046" spans="1:9" ht="12.75" customHeight="1">
      <c r="A1046" s="175"/>
      <c r="B1046" s="485" t="s">
        <v>2714</v>
      </c>
      <c r="C1046" s="354"/>
      <c r="D1046" s="1287" t="s">
        <v>986</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1831</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2715</v>
      </c>
      <c r="C1054" s="402"/>
      <c r="D1054" s="1291" t="s">
        <v>1815</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2714</v>
      </c>
      <c r="C1062" s="402"/>
      <c r="D1062" s="402" t="s">
        <v>1813</v>
      </c>
      <c r="I1062" s="490"/>
    </row>
    <row r="1063" spans="1:9">
      <c r="A1063" s="402"/>
      <c r="B1063" s="402"/>
      <c r="C1063" s="402"/>
      <c r="I1063" s="490"/>
    </row>
    <row r="1064" spans="1:9">
      <c r="A1064" s="402"/>
      <c r="B1064" s="485" t="s">
        <v>2715</v>
      </c>
      <c r="C1064" s="402"/>
      <c r="D1064" s="1291" t="s">
        <v>1819</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1820</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2714</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2715</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2715</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2715</v>
      </c>
      <c r="C1087" s="402"/>
      <c r="D1087" s="1290" t="s">
        <v>1822</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1827</v>
      </c>
      <c r="I1092" s="490"/>
    </row>
    <row r="1093" spans="1:9">
      <c r="A1093" s="402"/>
      <c r="B1093" s="402"/>
      <c r="C1093" s="402"/>
      <c r="I1093" s="490"/>
    </row>
    <row r="1094" spans="1:9">
      <c r="A1094" s="402"/>
      <c r="B1094" s="485" t="s">
        <v>2715</v>
      </c>
      <c r="C1094" s="402"/>
      <c r="D1094" s="1276" t="s">
        <v>2281</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1832</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2714</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2715</v>
      </c>
      <c r="C1105" s="402"/>
      <c r="D1105" s="1290" t="s">
        <v>1833</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2715</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2715</v>
      </c>
      <c r="C1115" s="402"/>
      <c r="D1115" s="1290" t="s">
        <v>1834</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2714</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2715</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71" zoomScale="150" zoomScaleNormal="150" workbookViewId="0">
      <selection activeCell="AN213" sqref="AN213"/>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2497</v>
      </c>
      <c r="BE1" s="3"/>
      <c r="BF1" s="3"/>
    </row>
    <row r="2" spans="1:58" ht="12.95" customHeight="1">
      <c r="BD2" s="3" t="s">
        <v>2498</v>
      </c>
      <c r="BE2" s="3" t="s">
        <v>2499</v>
      </c>
      <c r="BF2" s="3" t="s">
        <v>2500</v>
      </c>
    </row>
    <row r="3" spans="1:58" ht="12.95" customHeight="1">
      <c r="BD3" s="3" t="s">
        <v>2595</v>
      </c>
      <c r="BE3" t="str">
        <f>AC220</f>
        <v xml:space="preserve">Coastal (Monterey, Napa, Orange, San Benito, San Diego, San Luis Obispo, Santa Barbara, Sonoma, and Ventura Counties) </v>
      </c>
    </row>
    <row r="4" spans="1:58" ht="12.95" customHeight="1">
      <c r="BD4" s="3" t="s">
        <v>2507</v>
      </c>
      <c r="BE4" s="1246"/>
    </row>
    <row r="5" spans="1:58" ht="12.95" customHeight="1">
      <c r="BD5" s="3" t="s">
        <v>2508</v>
      </c>
      <c r="BE5">
        <f>SUMIF($AC$718:$AC$752,"&lt;=20%",$G$718:G$752)</f>
        <v>0</v>
      </c>
      <c r="BF5" s="3" t="s">
        <v>2513</v>
      </c>
    </row>
    <row r="6" spans="1:58" ht="12.95" customHeight="1">
      <c r="BD6" s="3" t="s">
        <v>2509</v>
      </c>
      <c r="BE6" s="1249">
        <f>SUMIF($AC$718:$AC$752,"&lt;=25%",$G$718:G$752)-SUM($BE$5:BE5)</f>
        <v>0</v>
      </c>
    </row>
    <row r="7" spans="1:58" ht="12.95" customHeight="1">
      <c r="BD7" s="1247" t="s">
        <v>2501</v>
      </c>
      <c r="BE7" s="1249">
        <f>SUMIF($AC$718:$AC$752,"&lt;=30%",$G$718:G$752)-SUM($BE$5:BE6)</f>
        <v>4</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2510</v>
      </c>
      <c r="BE8" s="1249">
        <f>SUMIF($AC$718:$AC$752,"&lt;=35%",$G$718:G$752)-SUM($BE$5:BE7)</f>
        <v>0</v>
      </c>
    </row>
    <row r="9" spans="1:58" ht="12.95"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2502</v>
      </c>
      <c r="BE9" s="1249">
        <f>SUMIF($AC$718:$AC$752,"&lt;=40%",$G$718:G$752)-SUM($BE$5:BE8)</f>
        <v>0</v>
      </c>
    </row>
    <row r="10" spans="1:58" ht="12.95" customHeight="1">
      <c r="A10" s="1373" t="s">
        <v>2459</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2511</v>
      </c>
      <c r="BE10" s="1249">
        <f>SUMIF($AC$718:$AC$752,"&lt;=45%",$G$718:G$752)-SUM($BE$5:BE9)</f>
        <v>0</v>
      </c>
    </row>
    <row r="11" spans="1:58" ht="12.95" customHeight="1">
      <c r="A11" s="1373" t="s">
        <v>2605</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2503</v>
      </c>
      <c r="BE11" s="1249">
        <f>SUMIF($AC$718:$AC$752,"&lt;=50%",$G$718:G$752)-SUM($BE$5:BE10)</f>
        <v>4</v>
      </c>
    </row>
    <row r="12" spans="1:58" ht="12.95"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2512</v>
      </c>
      <c r="BE12" s="1249">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2504</v>
      </c>
      <c r="BE13" s="1249">
        <f>SUMIF($AC$718:$AC$752,"&lt;=60%",$G$718:G$752)-SUM($BE$5:BE12)</f>
        <v>10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2505</v>
      </c>
      <c r="BE14" s="1249">
        <f>SUMIF($AC$718:$AC$752,"&lt;=70%",$G$718:G$752)-SUM($BE$5:BE13)</f>
        <v>14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5" customHeight="1">
      <c r="A16" s="57" t="s">
        <v>2079</v>
      </c>
      <c r="C16" s="4"/>
      <c r="D16" s="4"/>
      <c r="E16" s="4"/>
      <c r="F16" s="4"/>
      <c r="G16" s="4"/>
      <c r="H16" s="1420" t="s">
        <v>2613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Baumgardner Ranch Homes</v>
      </c>
    </row>
    <row r="17" spans="1:58" ht="12.95" customHeight="1">
      <c r="BD17" s="1247" t="s">
        <v>2519</v>
      </c>
      <c r="BE17" s="1249">
        <f>Application!AA934</f>
        <v>0</v>
      </c>
    </row>
    <row r="18" spans="1:58" ht="12.95" customHeight="1">
      <c r="A18" s="57" t="s">
        <v>101</v>
      </c>
      <c r="C18" s="4"/>
      <c r="D18" s="4"/>
      <c r="E18" s="4"/>
      <c r="F18" s="4"/>
      <c r="G18" s="4"/>
      <c r="H18" s="1417" t="s">
        <v>2713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2520</v>
      </c>
      <c r="BE18" s="1249">
        <f>'CalHFA Addendum'!N11</f>
        <v>0</v>
      </c>
    </row>
    <row r="19" spans="1:58" ht="12.95" customHeight="1">
      <c r="BD19" s="1247" t="s">
        <v>2521</v>
      </c>
      <c r="BE19" s="1249">
        <f>Application!M26</f>
        <v>1000632</v>
      </c>
    </row>
    <row r="20" spans="1:58" ht="12.9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2522</v>
      </c>
      <c r="BE20" s="1249">
        <f>Application!M27</f>
        <v>12936891</v>
      </c>
    </row>
    <row r="21" spans="1:58" ht="12.95"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2523</v>
      </c>
      <c r="BE21" s="1249">
        <f>Application!AM554</f>
        <v>7500000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26484190</v>
      </c>
      <c r="BF22" s="3" t="s">
        <v>2596</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2524</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2525</v>
      </c>
      <c r="BE24" s="1249">
        <f>Application!AG450</f>
        <v>36960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 Average Income</v>
      </c>
    </row>
    <row r="26" spans="1:58" ht="12.95" customHeight="1">
      <c r="A26" s="4"/>
      <c r="C26" s="4"/>
      <c r="D26" s="4"/>
      <c r="E26" s="4"/>
      <c r="F26" s="4"/>
      <c r="G26" s="4"/>
      <c r="H26" s="4"/>
      <c r="I26" s="4"/>
      <c r="J26" s="4"/>
      <c r="K26" s="4"/>
      <c r="L26" s="4"/>
      <c r="M26" s="1419">
        <f>'Basis &amp; Credits'!AB56</f>
        <v>1000632</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2.95" customHeight="1">
      <c r="A27" s="4"/>
      <c r="C27" s="4"/>
      <c r="D27" s="4"/>
      <c r="E27" s="4"/>
      <c r="F27" s="4"/>
      <c r="G27" s="4"/>
      <c r="H27" s="4"/>
      <c r="I27" s="4"/>
      <c r="J27" s="4"/>
      <c r="K27" s="4"/>
      <c r="L27" s="4"/>
      <c r="M27" s="1354">
        <f>'Basis &amp; Credits'!AB78</f>
        <v>12936891</v>
      </c>
      <c r="N27" s="1354"/>
      <c r="O27" s="1354"/>
      <c r="P27" s="1354"/>
      <c r="Q27" s="1354"/>
      <c r="R27" s="3" t="s">
        <v>1268</v>
      </c>
      <c r="S27" s="4"/>
      <c r="T27" s="4"/>
      <c r="U27" s="4"/>
      <c r="V27" s="4"/>
      <c r="W27" s="4"/>
      <c r="X27" s="4"/>
      <c r="Y27" s="4"/>
      <c r="Z27" s="4"/>
      <c r="AF27" s="4"/>
      <c r="AG27" s="4"/>
      <c r="AH27" s="4"/>
      <c r="AI27" s="4"/>
      <c r="AJ27" s="4"/>
      <c r="AK27" s="4"/>
      <c r="BD27" s="1247" t="s">
        <v>2099</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5"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2528</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2529</v>
      </c>
      <c r="BE31" s="1249"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2.95" customHeight="1">
      <c r="A33" s="519" t="s">
        <v>1279</v>
      </c>
      <c r="C33" s="519"/>
      <c r="D33" s="519"/>
      <c r="E33" s="519"/>
      <c r="F33" s="519"/>
      <c r="G33" s="519"/>
      <c r="H33" s="519"/>
      <c r="I33" s="519"/>
      <c r="J33" s="519"/>
      <c r="K33" s="519"/>
      <c r="L33" s="519"/>
      <c r="M33" s="519"/>
      <c r="N33" s="519"/>
      <c r="O33" s="1332" t="s">
        <v>546</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2597</v>
      </c>
      <c r="BE33" s="1249" t="str">
        <f>Application!D220</f>
        <v>Northern Region: Butte, Marin, Napa, Shasta, Solano, and Sonoma Counties</v>
      </c>
    </row>
    <row r="34" spans="1:57" ht="12.95"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2531</v>
      </c>
      <c r="BE34" s="1249" t="str">
        <f>Application!I185</f>
        <v>1301 S. Foothill Blvd. (proposed address subject to change)</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2532</v>
      </c>
      <c r="BE35" s="1249" t="str">
        <f>IF(Application!E187="","",Application!E187)</f>
        <v>S/W corner of Sandholm Avenue and Foothill Blvd</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2533</v>
      </c>
      <c r="BE36" s="1249" t="str">
        <f>Application!I189</f>
        <v>Cloverdale</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2534</v>
      </c>
      <c r="BE37" s="1249" t="str">
        <f>Application!T189</f>
        <v>Sonoma</v>
      </c>
    </row>
    <row r="38" spans="1:57" ht="12.95" customHeight="1">
      <c r="A38" s="3"/>
      <c r="AZ38" s="20"/>
      <c r="BD38" s="1248" t="s">
        <v>2535</v>
      </c>
      <c r="BE38" s="1249">
        <f>Application!I190</f>
        <v>95425</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33</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32</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0.59375</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0.58047312786551197</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802551.21212121216</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33</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2541</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2542</v>
      </c>
      <c r="BE47" s="1249"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2543</v>
      </c>
      <c r="BE48" s="1249" t="str">
        <f>Application!M243</f>
        <v>Corporation for Better Housing</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2544</v>
      </c>
      <c r="BE49" s="1249" t="str">
        <f>Application!M246</f>
        <v>Lori Koester</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Corporation for Better Housing</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20750 Ventura Blvd., Suite 155</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Woodland Hills, Ca 91364</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Lori Koester</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lkoester@corpoffices.org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0.81</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f>Application!X180</f>
        <v>0</v>
      </c>
    </row>
    <row r="65" spans="1:57" ht="12.95"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2594</v>
      </c>
      <c r="BE65" s="1249" t="str">
        <f>Z205</f>
        <v>$500M (Farmworker Housing)</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2559</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2560</v>
      </c>
      <c r="BE67" s="1249" t="b">
        <f>Application!O33="Yes"</f>
        <v>1</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5"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2562</v>
      </c>
      <c r="BE69" s="1249" t="str">
        <f>Application!W700</f>
        <v>CMFA</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2563</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5"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2565</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2566</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5" customHeight="1">
      <c r="A75" s="1789" t="s">
        <v>2160</v>
      </c>
      <c r="B75" s="1789"/>
      <c r="C75" s="1789"/>
      <c r="D75" s="1789"/>
      <c r="E75" s="1789"/>
      <c r="F75" s="1789"/>
      <c r="G75" s="1789"/>
      <c r="H75" s="1789"/>
      <c r="I75" s="1789"/>
      <c r="J75" s="1789"/>
      <c r="K75" s="1789"/>
      <c r="L75" s="1789"/>
      <c r="M75" s="1789"/>
      <c r="N75" s="1789"/>
      <c r="O75" s="1789"/>
      <c r="P75" s="1789"/>
      <c r="Q75" s="1789"/>
      <c r="R75" s="1789"/>
      <c r="S75" s="1789"/>
      <c r="T75" s="1789"/>
      <c r="U75" s="1789"/>
      <c r="V75" s="1789"/>
      <c r="W75" s="1789"/>
      <c r="X75" s="1789"/>
      <c r="Y75" s="1789"/>
      <c r="Z75" s="1789"/>
      <c r="AA75" s="1789"/>
      <c r="AB75" s="1789"/>
      <c r="AC75" s="1789"/>
      <c r="AD75" s="1789"/>
      <c r="AE75" s="1789"/>
      <c r="AF75" s="1789"/>
      <c r="AG75" s="1789"/>
      <c r="AH75" s="1789"/>
      <c r="AI75" s="1789"/>
      <c r="AJ75" s="1789"/>
      <c r="AK75" s="1789"/>
      <c r="AL75" s="1789"/>
      <c r="AM75" s="1789"/>
      <c r="AN75" s="1789"/>
      <c r="AO75" s="1789"/>
      <c r="AP75" s="1789"/>
      <c r="AQ75" s="1789"/>
      <c r="AR75" s="1789"/>
      <c r="AS75" s="1789"/>
      <c r="AT75" s="1789"/>
      <c r="AU75" s="20"/>
      <c r="AV75" s="20"/>
      <c r="AW75" s="20"/>
      <c r="AX75" s="20"/>
      <c r="AY75" s="20"/>
      <c r="AZ75" s="20"/>
      <c r="BD75" s="1247" t="s">
        <v>2568</v>
      </c>
      <c r="BE75" s="1249">
        <f>'Points System'!AF808</f>
        <v>10</v>
      </c>
    </row>
    <row r="76" spans="1:57" ht="12.95" customHeight="1">
      <c r="A76" s="1789"/>
      <c r="B76" s="1789"/>
      <c r="C76" s="1789"/>
      <c r="D76" s="1789"/>
      <c r="E76" s="1789"/>
      <c r="F76" s="1789"/>
      <c r="G76" s="1789"/>
      <c r="H76" s="1789"/>
      <c r="I76" s="1789"/>
      <c r="J76" s="1789"/>
      <c r="K76" s="1789"/>
      <c r="L76" s="1789"/>
      <c r="M76" s="1789"/>
      <c r="N76" s="1789"/>
      <c r="O76" s="1789"/>
      <c r="P76" s="1789"/>
      <c r="Q76" s="1789"/>
      <c r="R76" s="1789"/>
      <c r="S76" s="1789"/>
      <c r="T76" s="1789"/>
      <c r="U76" s="1789"/>
      <c r="V76" s="1789"/>
      <c r="W76" s="1789"/>
      <c r="X76" s="1789"/>
      <c r="Y76" s="1789"/>
      <c r="Z76" s="1789"/>
      <c r="AA76" s="1789"/>
      <c r="AB76" s="1789"/>
      <c r="AC76" s="1789"/>
      <c r="AD76" s="1789"/>
      <c r="AE76" s="1789"/>
      <c r="AF76" s="1789"/>
      <c r="AG76" s="1789"/>
      <c r="AH76" s="1789"/>
      <c r="AI76" s="1789"/>
      <c r="AJ76" s="1789"/>
      <c r="AK76" s="1789"/>
      <c r="AL76" s="1789"/>
      <c r="AM76" s="1789"/>
      <c r="AN76" s="1789"/>
      <c r="AO76" s="1789"/>
      <c r="AP76" s="1789"/>
      <c r="AQ76" s="1789"/>
      <c r="AR76" s="1789"/>
      <c r="AS76" s="1789"/>
      <c r="AT76" s="1789"/>
      <c r="AU76" s="20"/>
      <c r="AV76" s="20"/>
      <c r="AW76" s="20"/>
      <c r="AX76" s="20"/>
      <c r="AY76" s="20"/>
      <c r="AZ76" s="17"/>
      <c r="BD76" s="1248" t="s">
        <v>2569</v>
      </c>
      <c r="BE76" s="1249">
        <f>'Points System'!AF811</f>
        <v>10</v>
      </c>
    </row>
    <row r="77" spans="1:57" ht="12.95" customHeight="1">
      <c r="A77" s="1789"/>
      <c r="B77" s="1789"/>
      <c r="C77" s="1789"/>
      <c r="D77" s="1789"/>
      <c r="E77" s="1789"/>
      <c r="F77" s="1789"/>
      <c r="G77" s="1789"/>
      <c r="H77" s="1789"/>
      <c r="I77" s="1789"/>
      <c r="J77" s="1789"/>
      <c r="K77" s="1789"/>
      <c r="L77" s="1789"/>
      <c r="M77" s="1789"/>
      <c r="N77" s="1789"/>
      <c r="O77" s="1789"/>
      <c r="P77" s="1789"/>
      <c r="Q77" s="1789"/>
      <c r="R77" s="1789"/>
      <c r="S77" s="1789"/>
      <c r="T77" s="1789"/>
      <c r="U77" s="1789"/>
      <c r="V77" s="1789"/>
      <c r="W77" s="1789"/>
      <c r="X77" s="1789"/>
      <c r="Y77" s="1789"/>
      <c r="Z77" s="1789"/>
      <c r="AA77" s="1789"/>
      <c r="AB77" s="1789"/>
      <c r="AC77" s="1789"/>
      <c r="AD77" s="1789"/>
      <c r="AE77" s="1789"/>
      <c r="AF77" s="1789"/>
      <c r="AG77" s="1789"/>
      <c r="AH77" s="1789"/>
      <c r="AI77" s="1789"/>
      <c r="AJ77" s="1789"/>
      <c r="AK77" s="1789"/>
      <c r="AL77" s="1789"/>
      <c r="AM77" s="1789"/>
      <c r="AN77" s="1789"/>
      <c r="AO77" s="1789"/>
      <c r="AP77" s="1789"/>
      <c r="AQ77" s="1789"/>
      <c r="AR77" s="1789"/>
      <c r="AS77" s="1789"/>
      <c r="AT77" s="1789"/>
      <c r="AU77" s="20"/>
      <c r="AV77" s="20"/>
      <c r="AW77" s="20"/>
      <c r="AX77" s="20"/>
      <c r="AY77" s="20"/>
      <c r="AZ77" s="17"/>
      <c r="BD77" s="1247" t="s">
        <v>2570</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5"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2572</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2573</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2574</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0.56783233934251842</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Cloverdale</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Kevin Thompson</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124 N Clovedale Blvd</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Cloverdale</v>
      </c>
    </row>
    <row r="89" spans="1:57" ht="12.95" customHeight="1">
      <c r="A89" s="1788" t="s">
        <v>2164</v>
      </c>
      <c r="B89" s="1788"/>
      <c r="C89" s="1788"/>
      <c r="D89" s="1788"/>
      <c r="E89" s="1788"/>
      <c r="F89" s="1788"/>
      <c r="G89" s="1788"/>
      <c r="H89" s="1788"/>
      <c r="I89" s="1788"/>
      <c r="J89" s="1788"/>
      <c r="K89" s="1788"/>
      <c r="L89" s="1788"/>
      <c r="M89" s="1788"/>
      <c r="N89" s="1788"/>
      <c r="O89" s="1788"/>
      <c r="P89" s="1788"/>
      <c r="Q89" s="1788"/>
      <c r="R89" s="1788"/>
      <c r="S89" s="1788"/>
      <c r="T89" s="1788"/>
      <c r="U89" s="1788"/>
      <c r="V89" s="1788"/>
      <c r="W89" s="1788"/>
      <c r="X89" s="1788"/>
      <c r="Y89" s="1788"/>
      <c r="Z89" s="1788"/>
      <c r="AA89" s="1788"/>
      <c r="AB89" s="1788"/>
      <c r="AC89" s="1788"/>
      <c r="AD89" s="1788"/>
      <c r="AE89" s="1788"/>
      <c r="AF89" s="1788"/>
      <c r="AG89" s="1788"/>
      <c r="AH89" s="1788"/>
      <c r="AI89" s="1788"/>
      <c r="AJ89" s="1788"/>
      <c r="AK89" s="1788"/>
      <c r="AL89" s="1788"/>
      <c r="AM89" s="1788"/>
      <c r="AN89" s="1788"/>
      <c r="AO89" s="1788"/>
      <c r="AP89" s="1788"/>
      <c r="AQ89" s="1788"/>
      <c r="AR89" s="1788"/>
      <c r="AS89" s="1788"/>
      <c r="AT89" s="1788"/>
      <c r="AU89" s="17"/>
      <c r="AV89" s="17"/>
      <c r="AW89" s="17"/>
      <c r="AX89" s="17"/>
      <c r="AY89" s="17"/>
      <c r="AZ89" s="20"/>
      <c r="BD89" s="1247" t="s">
        <v>2582</v>
      </c>
      <c r="BE89" s="1249">
        <f>Application!O158</f>
        <v>0</v>
      </c>
    </row>
    <row r="90" spans="1:57" ht="12.95" customHeight="1">
      <c r="A90" s="1788"/>
      <c r="B90" s="1788"/>
      <c r="C90" s="1788"/>
      <c r="D90" s="1788"/>
      <c r="E90" s="1788"/>
      <c r="F90" s="1788"/>
      <c r="G90" s="1788"/>
      <c r="H90" s="1788"/>
      <c r="I90" s="1788"/>
      <c r="J90" s="1788"/>
      <c r="K90" s="1788"/>
      <c r="L90" s="1788"/>
      <c r="M90" s="1788"/>
      <c r="N90" s="1788"/>
      <c r="O90" s="1788"/>
      <c r="P90" s="1788"/>
      <c r="Q90" s="1788"/>
      <c r="R90" s="1788"/>
      <c r="S90" s="1788"/>
      <c r="T90" s="1788"/>
      <c r="U90" s="1788"/>
      <c r="V90" s="1788"/>
      <c r="W90" s="1788"/>
      <c r="X90" s="1788"/>
      <c r="Y90" s="1788"/>
      <c r="Z90" s="1788"/>
      <c r="AA90" s="1788"/>
      <c r="AB90" s="1788"/>
      <c r="AC90" s="1788"/>
      <c r="AD90" s="1788"/>
      <c r="AE90" s="1788"/>
      <c r="AF90" s="1788"/>
      <c r="AG90" s="1788"/>
      <c r="AH90" s="1788"/>
      <c r="AI90" s="1788"/>
      <c r="AJ90" s="1788"/>
      <c r="AK90" s="1788"/>
      <c r="AL90" s="1788"/>
      <c r="AM90" s="1788"/>
      <c r="AN90" s="1788"/>
      <c r="AO90" s="1788"/>
      <c r="AP90" s="1788"/>
      <c r="AQ90" s="1788"/>
      <c r="AR90" s="1788"/>
      <c r="AS90" s="1788"/>
      <c r="AT90" s="1788"/>
      <c r="AU90" s="17"/>
      <c r="AV90" s="17"/>
      <c r="AW90" s="17"/>
      <c r="AX90" s="17"/>
      <c r="AY90" s="17"/>
      <c r="AZ90" s="20"/>
      <c r="BD90" s="1248" t="s">
        <v>2583</v>
      </c>
      <c r="BE90" s="1249" t="str">
        <f>Application!H16</f>
        <v>Corporation for Better Housing, a 501 (c)(3) non-profit</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20750 Ventura Blvd., Suite 155</v>
      </c>
    </row>
    <row r="92" spans="1:57" ht="12.95" customHeight="1">
      <c r="A92" s="1789" t="s">
        <v>2165</v>
      </c>
      <c r="B92" s="1789"/>
      <c r="C92" s="1789"/>
      <c r="D92" s="1789"/>
      <c r="E92" s="1789"/>
      <c r="F92" s="1789"/>
      <c r="G92" s="1789"/>
      <c r="H92" s="1789"/>
      <c r="I92" s="1789"/>
      <c r="J92" s="1789"/>
      <c r="K92" s="1789"/>
      <c r="L92" s="1789"/>
      <c r="M92" s="1789"/>
      <c r="N92" s="1789"/>
      <c r="O92" s="1789"/>
      <c r="P92" s="1789"/>
      <c r="Q92" s="1789"/>
      <c r="R92" s="1789"/>
      <c r="S92" s="1789"/>
      <c r="T92" s="1789"/>
      <c r="U92" s="1789"/>
      <c r="V92" s="1789"/>
      <c r="W92" s="1789"/>
      <c r="X92" s="1789"/>
      <c r="Y92" s="1789"/>
      <c r="Z92" s="1789"/>
      <c r="AA92" s="1789"/>
      <c r="AB92" s="1789"/>
      <c r="AC92" s="1789"/>
      <c r="AD92" s="1789"/>
      <c r="AE92" s="1789"/>
      <c r="AF92" s="1789"/>
      <c r="AG92" s="1789"/>
      <c r="AH92" s="1789"/>
      <c r="AI92" s="1789"/>
      <c r="AJ92" s="1789"/>
      <c r="AK92" s="1789"/>
      <c r="AL92" s="1789"/>
      <c r="AM92" s="1789"/>
      <c r="AN92" s="1789"/>
      <c r="AO92" s="1789"/>
      <c r="AP92" s="1789"/>
      <c r="AQ92" s="1789"/>
      <c r="AR92" s="1789"/>
      <c r="AS92" s="1789"/>
      <c r="AT92" s="1789"/>
      <c r="AU92" s="20"/>
      <c r="AV92" s="20"/>
      <c r="AW92" s="20"/>
      <c r="AX92" s="20"/>
      <c r="AY92" s="20"/>
      <c r="AZ92" s="20"/>
      <c r="BD92" s="1248" t="s">
        <v>2585</v>
      </c>
      <c r="BE92" s="1249" t="str">
        <f>Application!M234</f>
        <v>Woodland Hills</v>
      </c>
    </row>
    <row r="93" spans="1:57" ht="12.95" customHeight="1">
      <c r="A93" s="1789"/>
      <c r="B93" s="1789"/>
      <c r="C93" s="1789"/>
      <c r="D93" s="1789"/>
      <c r="E93" s="1789"/>
      <c r="F93" s="1789"/>
      <c r="G93" s="1789"/>
      <c r="H93" s="1789"/>
      <c r="I93" s="1789"/>
      <c r="J93" s="1789"/>
      <c r="K93" s="1789"/>
      <c r="L93" s="1789"/>
      <c r="M93" s="1789"/>
      <c r="N93" s="1789"/>
      <c r="O93" s="1789"/>
      <c r="P93" s="1789"/>
      <c r="Q93" s="1789"/>
      <c r="R93" s="1789"/>
      <c r="S93" s="1789"/>
      <c r="T93" s="1789"/>
      <c r="U93" s="1789"/>
      <c r="V93" s="1789"/>
      <c r="W93" s="1789"/>
      <c r="X93" s="1789"/>
      <c r="Y93" s="1789"/>
      <c r="Z93" s="1789"/>
      <c r="AA93" s="1789"/>
      <c r="AB93" s="1789"/>
      <c r="AC93" s="1789"/>
      <c r="AD93" s="1789"/>
      <c r="AE93" s="1789"/>
      <c r="AF93" s="1789"/>
      <c r="AG93" s="1789"/>
      <c r="AH93" s="1789"/>
      <c r="AI93" s="1789"/>
      <c r="AJ93" s="1789"/>
      <c r="AK93" s="1789"/>
      <c r="AL93" s="1789"/>
      <c r="AM93" s="1789"/>
      <c r="AN93" s="1789"/>
      <c r="AO93" s="1789"/>
      <c r="AP93" s="1789"/>
      <c r="AQ93" s="1789"/>
      <c r="AR93" s="1789"/>
      <c r="AS93" s="1789"/>
      <c r="AT93" s="1789"/>
      <c r="AU93" s="20"/>
      <c r="AV93" s="20"/>
      <c r="AW93" s="20"/>
      <c r="AX93" s="20"/>
      <c r="AY93" s="20"/>
      <c r="AZ93" s="20"/>
      <c r="BD93" s="1247" t="s">
        <v>2586</v>
      </c>
      <c r="BE93" s="1249" t="str">
        <f>Application!W234</f>
        <v>CA</v>
      </c>
    </row>
    <row r="94" spans="1:57" ht="12.95" customHeight="1">
      <c r="A94" s="1789"/>
      <c r="B94" s="1789"/>
      <c r="C94" s="1789"/>
      <c r="D94" s="1789"/>
      <c r="E94" s="1789"/>
      <c r="F94" s="1789"/>
      <c r="G94" s="1789"/>
      <c r="H94" s="1789"/>
      <c r="I94" s="1789"/>
      <c r="J94" s="1789"/>
      <c r="K94" s="1789"/>
      <c r="L94" s="1789"/>
      <c r="M94" s="1789"/>
      <c r="N94" s="1789"/>
      <c r="O94" s="1789"/>
      <c r="P94" s="1789"/>
      <c r="Q94" s="1789"/>
      <c r="R94" s="1789"/>
      <c r="S94" s="1789"/>
      <c r="T94" s="1789"/>
      <c r="U94" s="1789"/>
      <c r="V94" s="1789"/>
      <c r="W94" s="1789"/>
      <c r="X94" s="1789"/>
      <c r="Y94" s="1789"/>
      <c r="Z94" s="1789"/>
      <c r="AA94" s="1789"/>
      <c r="AB94" s="1789"/>
      <c r="AC94" s="1789"/>
      <c r="AD94" s="1789"/>
      <c r="AE94" s="1789"/>
      <c r="AF94" s="1789"/>
      <c r="AG94" s="1789"/>
      <c r="AH94" s="1789"/>
      <c r="AI94" s="1789"/>
      <c r="AJ94" s="1789"/>
      <c r="AK94" s="1789"/>
      <c r="AL94" s="1789"/>
      <c r="AM94" s="1789"/>
      <c r="AN94" s="1789"/>
      <c r="AO94" s="1789"/>
      <c r="AP94" s="1789"/>
      <c r="AQ94" s="1789"/>
      <c r="AR94" s="1789"/>
      <c r="AS94" s="1789"/>
      <c r="AT94" s="1789"/>
      <c r="AU94" s="20"/>
      <c r="AV94" s="20"/>
      <c r="AW94" s="20"/>
      <c r="AX94" s="20"/>
      <c r="AY94" s="20"/>
      <c r="AZ94" s="20"/>
      <c r="BD94" s="1248" t="s">
        <v>2587</v>
      </c>
      <c r="BE94" s="1249">
        <f>Application!AC234</f>
        <v>91364</v>
      </c>
    </row>
    <row r="95" spans="1:57" ht="12.95" customHeight="1">
      <c r="A95" s="1789"/>
      <c r="B95" s="1789"/>
      <c r="C95" s="1789"/>
      <c r="D95" s="1789"/>
      <c r="E95" s="1789"/>
      <c r="F95" s="1789"/>
      <c r="G95" s="1789"/>
      <c r="H95" s="1789"/>
      <c r="I95" s="1789"/>
      <c r="J95" s="1789"/>
      <c r="K95" s="1789"/>
      <c r="L95" s="1789"/>
      <c r="M95" s="1789"/>
      <c r="N95" s="1789"/>
      <c r="O95" s="1789"/>
      <c r="P95" s="1789"/>
      <c r="Q95" s="1789"/>
      <c r="R95" s="1789"/>
      <c r="S95" s="1789"/>
      <c r="T95" s="1789"/>
      <c r="U95" s="1789"/>
      <c r="V95" s="1789"/>
      <c r="W95" s="1789"/>
      <c r="X95" s="1789"/>
      <c r="Y95" s="1789"/>
      <c r="Z95" s="1789"/>
      <c r="AA95" s="1789"/>
      <c r="AB95" s="1789"/>
      <c r="AC95" s="1789"/>
      <c r="AD95" s="1789"/>
      <c r="AE95" s="1789"/>
      <c r="AF95" s="1789"/>
      <c r="AG95" s="1789"/>
      <c r="AH95" s="1789"/>
      <c r="AI95" s="1789"/>
      <c r="AJ95" s="1789"/>
      <c r="AK95" s="1789"/>
      <c r="AL95" s="1789"/>
      <c r="AM95" s="1789"/>
      <c r="AN95" s="1789"/>
      <c r="AO95" s="1789"/>
      <c r="AP95" s="1789"/>
      <c r="AQ95" s="1789"/>
      <c r="AR95" s="1789"/>
      <c r="AS95" s="1789"/>
      <c r="AT95" s="1789"/>
      <c r="AU95" s="20"/>
      <c r="AV95" s="20"/>
      <c r="AW95" s="20"/>
      <c r="AX95" s="20"/>
      <c r="AY95" s="20"/>
      <c r="AZ95" s="20"/>
      <c r="BD95" s="1247" t="s">
        <v>2588</v>
      </c>
      <c r="BE95" s="1249" t="str">
        <f>Application!M235</f>
        <v>Lori Koester</v>
      </c>
    </row>
    <row r="96" spans="1:57" ht="12.95" customHeight="1">
      <c r="A96" s="1789"/>
      <c r="B96" s="1789"/>
      <c r="C96" s="1789"/>
      <c r="D96" s="1789"/>
      <c r="E96" s="1789"/>
      <c r="F96" s="1789"/>
      <c r="G96" s="1789"/>
      <c r="H96" s="1789"/>
      <c r="I96" s="1789"/>
      <c r="J96" s="1789"/>
      <c r="K96" s="1789"/>
      <c r="L96" s="1789"/>
      <c r="M96" s="1789"/>
      <c r="N96" s="1789"/>
      <c r="O96" s="1789"/>
      <c r="P96" s="1789"/>
      <c r="Q96" s="1789"/>
      <c r="R96" s="1789"/>
      <c r="S96" s="1789"/>
      <c r="T96" s="1789"/>
      <c r="U96" s="1789"/>
      <c r="V96" s="1789"/>
      <c r="W96" s="1789"/>
      <c r="X96" s="1789"/>
      <c r="Y96" s="1789"/>
      <c r="Z96" s="1789"/>
      <c r="AA96" s="1789"/>
      <c r="AB96" s="1789"/>
      <c r="AC96" s="1789"/>
      <c r="AD96" s="1789"/>
      <c r="AE96" s="1789"/>
      <c r="AF96" s="1789"/>
      <c r="AG96" s="1789"/>
      <c r="AH96" s="1789"/>
      <c r="AI96" s="1789"/>
      <c r="AJ96" s="1789"/>
      <c r="AK96" s="1789"/>
      <c r="AL96" s="1789"/>
      <c r="AM96" s="1789"/>
      <c r="AN96" s="1789"/>
      <c r="AO96" s="1789"/>
      <c r="AP96" s="1789"/>
      <c r="AQ96" s="1789"/>
      <c r="AR96" s="1789"/>
      <c r="AS96" s="1789"/>
      <c r="AT96" s="1789"/>
      <c r="AU96" s="20"/>
      <c r="AV96" s="20"/>
      <c r="AW96" s="20"/>
      <c r="AX96" s="20"/>
      <c r="AY96" s="20"/>
      <c r="AZ96" s="20"/>
      <c r="BD96" s="1248" t="s">
        <v>2589</v>
      </c>
      <c r="BE96" s="1249" t="str">
        <f>Application!M237</f>
        <v>lkoester@corpoffices.org</v>
      </c>
    </row>
    <row r="97" spans="1:57" ht="12.95" customHeight="1">
      <c r="A97" s="1789"/>
      <c r="B97" s="1789"/>
      <c r="C97" s="1789"/>
      <c r="D97" s="1789"/>
      <c r="E97" s="1789"/>
      <c r="F97" s="1789"/>
      <c r="G97" s="1789"/>
      <c r="H97" s="1789"/>
      <c r="I97" s="1789"/>
      <c r="J97" s="1789"/>
      <c r="K97" s="1789"/>
      <c r="L97" s="1789"/>
      <c r="M97" s="1789"/>
      <c r="N97" s="1789"/>
      <c r="O97" s="1789"/>
      <c r="P97" s="1789"/>
      <c r="Q97" s="1789"/>
      <c r="R97" s="1789"/>
      <c r="S97" s="1789"/>
      <c r="T97" s="1789"/>
      <c r="U97" s="1789"/>
      <c r="V97" s="1789"/>
      <c r="W97" s="1789"/>
      <c r="X97" s="1789"/>
      <c r="Y97" s="1789"/>
      <c r="Z97" s="1789"/>
      <c r="AA97" s="1789"/>
      <c r="AB97" s="1789"/>
      <c r="AC97" s="1789"/>
      <c r="AD97" s="1789"/>
      <c r="AE97" s="1789"/>
      <c r="AF97" s="1789"/>
      <c r="AG97" s="1789"/>
      <c r="AH97" s="1789"/>
      <c r="AI97" s="1789"/>
      <c r="AJ97" s="1789"/>
      <c r="AK97" s="1789"/>
      <c r="AL97" s="1789"/>
      <c r="AM97" s="1789"/>
      <c r="AN97" s="1789"/>
      <c r="AO97" s="1789"/>
      <c r="AP97" s="1789"/>
      <c r="AQ97" s="1789"/>
      <c r="AR97" s="1789"/>
      <c r="AS97" s="1789"/>
      <c r="AT97" s="1789"/>
      <c r="AU97" s="20"/>
      <c r="AV97" s="20"/>
      <c r="AW97" s="20"/>
      <c r="AX97" s="20"/>
      <c r="AY97" s="20"/>
      <c r="AZ97" s="20"/>
      <c r="BD97" s="1247" t="s">
        <v>2590</v>
      </c>
      <c r="BE97" s="1249" t="str">
        <f>Application!M248</f>
        <v>lkoester@corpoffices.org</v>
      </c>
    </row>
    <row r="98" spans="1:57" ht="12.95" customHeight="1">
      <c r="A98" s="1789"/>
      <c r="B98" s="1789"/>
      <c r="C98" s="1789"/>
      <c r="D98" s="1789"/>
      <c r="E98" s="1789"/>
      <c r="F98" s="1789"/>
      <c r="G98" s="1789"/>
      <c r="H98" s="1789"/>
      <c r="I98" s="1789"/>
      <c r="J98" s="1789"/>
      <c r="K98" s="1789"/>
      <c r="L98" s="1789"/>
      <c r="M98" s="1789"/>
      <c r="N98" s="1789"/>
      <c r="O98" s="1789"/>
      <c r="P98" s="1789"/>
      <c r="Q98" s="1789"/>
      <c r="R98" s="1789"/>
      <c r="S98" s="1789"/>
      <c r="T98" s="1789"/>
      <c r="U98" s="1789"/>
      <c r="V98" s="1789"/>
      <c r="W98" s="1789"/>
      <c r="X98" s="1789"/>
      <c r="Y98" s="1789"/>
      <c r="Z98" s="1789"/>
      <c r="AA98" s="1789"/>
      <c r="AB98" s="1789"/>
      <c r="AC98" s="1789"/>
      <c r="AD98" s="1789"/>
      <c r="AE98" s="1789"/>
      <c r="AF98" s="1789"/>
      <c r="AG98" s="1789"/>
      <c r="AH98" s="1789"/>
      <c r="AI98" s="1789"/>
      <c r="AJ98" s="1789"/>
      <c r="AK98" s="1789"/>
      <c r="AL98" s="1789"/>
      <c r="AM98" s="1789"/>
      <c r="AN98" s="1789"/>
      <c r="AO98" s="1789"/>
      <c r="AP98" s="1789"/>
      <c r="AQ98" s="1789"/>
      <c r="AR98" s="1789"/>
      <c r="AS98" s="1789"/>
      <c r="AT98" s="1789"/>
      <c r="AU98" s="20"/>
      <c r="AV98" s="20"/>
      <c r="AW98" s="20"/>
      <c r="AX98" s="20"/>
      <c r="AY98" s="20"/>
      <c r="AZ98" s="20"/>
      <c r="BD98" s="1248" t="s">
        <v>2591</v>
      </c>
      <c r="BE98" s="1249">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5" customHeight="1">
      <c r="A100" s="1790" t="s">
        <v>2166</v>
      </c>
      <c r="B100" s="1790"/>
      <c r="C100" s="1790"/>
      <c r="D100" s="1790"/>
      <c r="E100" s="1790"/>
      <c r="F100" s="1790"/>
      <c r="G100" s="1790"/>
      <c r="H100" s="1790"/>
      <c r="I100" s="1790"/>
      <c r="J100" s="1790"/>
      <c r="K100" s="1790"/>
      <c r="L100" s="1790"/>
      <c r="M100" s="1790"/>
      <c r="N100" s="1790"/>
      <c r="O100" s="1790"/>
      <c r="P100" s="1790"/>
      <c r="Q100" s="1790"/>
      <c r="R100" s="1790"/>
      <c r="S100" s="1790"/>
      <c r="T100" s="1790"/>
      <c r="U100" s="1790"/>
      <c r="V100" s="1790"/>
      <c r="W100" s="1790"/>
      <c r="X100" s="1790"/>
      <c r="Y100" s="1790"/>
      <c r="Z100" s="1790"/>
      <c r="AA100" s="1790"/>
      <c r="AB100" s="1790"/>
      <c r="AC100" s="1790"/>
      <c r="AD100" s="1790"/>
      <c r="AE100" s="1790"/>
      <c r="AF100" s="1790"/>
      <c r="AG100" s="1790"/>
      <c r="AH100" s="1790"/>
      <c r="AI100" s="1790"/>
      <c r="AJ100" s="1790"/>
      <c r="AK100" s="1790"/>
      <c r="AL100" s="1790"/>
      <c r="AM100" s="1790"/>
      <c r="AN100" s="1790"/>
      <c r="AO100" s="1790"/>
      <c r="AP100" s="1790"/>
      <c r="AQ100" s="1790"/>
      <c r="AR100" s="1790"/>
      <c r="AS100" s="1790"/>
      <c r="AT100" s="1790"/>
      <c r="AU100" s="20"/>
      <c r="AV100" s="20"/>
      <c r="AW100" s="20"/>
      <c r="AX100" s="20"/>
      <c r="AY100" s="20"/>
      <c r="AZ100" s="20"/>
      <c r="BD100" s="1248" t="s">
        <v>2593</v>
      </c>
      <c r="BE100" s="1249" t="str">
        <f>Application!L279</f>
        <v>jhardt@icdemail.com</v>
      </c>
    </row>
    <row r="101" spans="1:57" ht="12.95" customHeight="1">
      <c r="A101" s="1790"/>
      <c r="B101" s="1790"/>
      <c r="C101" s="1790"/>
      <c r="D101" s="1790"/>
      <c r="E101" s="1790"/>
      <c r="F101" s="1790"/>
      <c r="G101" s="1790"/>
      <c r="H101" s="1790"/>
      <c r="I101" s="1790"/>
      <c r="J101" s="1790"/>
      <c r="K101" s="1790"/>
      <c r="L101" s="1790"/>
      <c r="M101" s="1790"/>
      <c r="N101" s="1790"/>
      <c r="O101" s="1790"/>
      <c r="P101" s="1790"/>
      <c r="Q101" s="1790"/>
      <c r="R101" s="1790"/>
      <c r="S101" s="1790"/>
      <c r="T101" s="1790"/>
      <c r="U101" s="1790"/>
      <c r="V101" s="1790"/>
      <c r="W101" s="1790"/>
      <c r="X101" s="1790"/>
      <c r="Y101" s="1790"/>
      <c r="Z101" s="1790"/>
      <c r="AA101" s="1790"/>
      <c r="AB101" s="1790"/>
      <c r="AC101" s="1790"/>
      <c r="AD101" s="1790"/>
      <c r="AE101" s="1790"/>
      <c r="AF101" s="1790"/>
      <c r="AG101" s="1790"/>
      <c r="AH101" s="1790"/>
      <c r="AI101" s="1790"/>
      <c r="AJ101" s="1790"/>
      <c r="AK101" s="1790"/>
      <c r="AL101" s="1790"/>
      <c r="AM101" s="1790"/>
      <c r="AN101" s="1790"/>
      <c r="AO101" s="1790"/>
      <c r="AP101" s="1790"/>
      <c r="AQ101" s="1790"/>
      <c r="AR101" s="1790"/>
      <c r="AS101" s="1790"/>
      <c r="AT101" s="1790"/>
      <c r="AU101" s="20"/>
      <c r="AV101" s="20"/>
      <c r="AW101" s="20"/>
      <c r="AX101" s="20"/>
      <c r="AY101" s="20"/>
      <c r="AZ101" s="20"/>
      <c r="BD101" s="3" t="s">
        <v>2598</v>
      </c>
      <c r="BE101">
        <f>'Sources and Uses Budget'!C105</f>
        <v>26484190</v>
      </c>
    </row>
    <row r="102" spans="1:57" ht="12.95" customHeight="1">
      <c r="A102" s="1790"/>
      <c r="B102" s="1790"/>
      <c r="C102" s="1790"/>
      <c r="D102" s="1790"/>
      <c r="E102" s="1790"/>
      <c r="F102" s="1790"/>
      <c r="G102" s="1790"/>
      <c r="H102" s="1790"/>
      <c r="I102" s="1790"/>
      <c r="J102" s="1790"/>
      <c r="K102" s="1790"/>
      <c r="L102" s="1790"/>
      <c r="M102" s="1790"/>
      <c r="N102" s="1790"/>
      <c r="O102" s="1790"/>
      <c r="P102" s="1790"/>
      <c r="Q102" s="1790"/>
      <c r="R102" s="1790"/>
      <c r="S102" s="1790"/>
      <c r="T102" s="1790"/>
      <c r="U102" s="1790"/>
      <c r="V102" s="1790"/>
      <c r="W102" s="1790"/>
      <c r="X102" s="1790"/>
      <c r="Y102" s="1790"/>
      <c r="Z102" s="1790"/>
      <c r="AA102" s="1790"/>
      <c r="AB102" s="1790"/>
      <c r="AC102" s="1790"/>
      <c r="AD102" s="1790"/>
      <c r="AE102" s="1790"/>
      <c r="AF102" s="1790"/>
      <c r="AG102" s="1790"/>
      <c r="AH102" s="1790"/>
      <c r="AI102" s="1790"/>
      <c r="AJ102" s="1790"/>
      <c r="AK102" s="1790"/>
      <c r="AL102" s="1790"/>
      <c r="AM102" s="1790"/>
      <c r="AN102" s="1790"/>
      <c r="AO102" s="1790"/>
      <c r="AP102" s="1790"/>
      <c r="AQ102" s="1790"/>
      <c r="AR102" s="1790"/>
      <c r="AS102" s="1790"/>
      <c r="AT102" s="1790"/>
      <c r="AU102" s="20"/>
      <c r="AV102" s="20"/>
      <c r="AW102" s="20"/>
      <c r="AX102" s="20"/>
      <c r="AY102" s="20"/>
      <c r="AZ102" s="20"/>
      <c r="BD102" s="3" t="s">
        <v>2599</v>
      </c>
      <c r="BE102" t="b">
        <f>T197="Yes"</f>
        <v>0</v>
      </c>
    </row>
    <row r="103" spans="1:57" ht="12.95" customHeight="1">
      <c r="A103" s="1790"/>
      <c r="B103" s="1790"/>
      <c r="C103" s="1790"/>
      <c r="D103" s="1790"/>
      <c r="E103" s="1790"/>
      <c r="F103" s="1790"/>
      <c r="G103" s="1790"/>
      <c r="H103" s="1790"/>
      <c r="I103" s="1790"/>
      <c r="J103" s="1790"/>
      <c r="K103" s="1790"/>
      <c r="L103" s="1790"/>
      <c r="M103" s="1790"/>
      <c r="N103" s="1790"/>
      <c r="O103" s="1790"/>
      <c r="P103" s="1790"/>
      <c r="Q103" s="1790"/>
      <c r="R103" s="1790"/>
      <c r="S103" s="1790"/>
      <c r="T103" s="1790"/>
      <c r="U103" s="1790"/>
      <c r="V103" s="1790"/>
      <c r="W103" s="1790"/>
      <c r="X103" s="1790"/>
      <c r="Y103" s="1790"/>
      <c r="Z103" s="1790"/>
      <c r="AA103" s="1790"/>
      <c r="AB103" s="1790"/>
      <c r="AC103" s="1790"/>
      <c r="AD103" s="1790"/>
      <c r="AE103" s="1790"/>
      <c r="AF103" s="1790"/>
      <c r="AG103" s="1790"/>
      <c r="AH103" s="1790"/>
      <c r="AI103" s="1790"/>
      <c r="AJ103" s="1790"/>
      <c r="AK103" s="1790"/>
      <c r="AL103" s="1790"/>
      <c r="AM103" s="1790"/>
      <c r="AN103" s="1790"/>
      <c r="AO103" s="1790"/>
      <c r="AP103" s="1790"/>
      <c r="AQ103" s="1790"/>
      <c r="AR103" s="1790"/>
      <c r="AS103" s="1790"/>
      <c r="AT103" s="1790"/>
      <c r="AU103" s="20"/>
      <c r="AV103" s="20"/>
      <c r="AW103" s="20"/>
      <c r="AX103" s="20"/>
      <c r="AY103" s="20"/>
      <c r="BD103" t="s">
        <v>2176</v>
      </c>
      <c r="BE103" s="1249" t="b">
        <f>T199="Yes"</f>
        <v>1</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0" t="s">
        <v>2167</v>
      </c>
      <c r="B105" s="1790"/>
      <c r="C105" s="1790"/>
      <c r="D105" s="1790"/>
      <c r="E105" s="1790"/>
      <c r="F105" s="1790"/>
      <c r="G105" s="1790"/>
      <c r="H105" s="1790"/>
      <c r="I105" s="1790"/>
      <c r="J105" s="1790"/>
      <c r="K105" s="1790"/>
      <c r="L105" s="1790"/>
      <c r="M105" s="1790"/>
      <c r="N105" s="1790"/>
      <c r="O105" s="1790"/>
      <c r="P105" s="1790"/>
      <c r="Q105" s="1790"/>
      <c r="R105" s="1790"/>
      <c r="S105" s="1790"/>
      <c r="T105" s="1790"/>
      <c r="U105" s="1790"/>
      <c r="V105" s="1790"/>
      <c r="W105" s="1790"/>
      <c r="X105" s="1790"/>
      <c r="Y105" s="1790"/>
      <c r="Z105" s="1790"/>
      <c r="AA105" s="1790"/>
      <c r="AB105" s="1790"/>
      <c r="AC105" s="1790"/>
      <c r="AD105" s="1790"/>
      <c r="AE105" s="1790"/>
      <c r="AF105" s="1790"/>
      <c r="AG105" s="1790"/>
      <c r="AH105" s="1790"/>
      <c r="AI105" s="1790"/>
      <c r="AJ105" s="1790"/>
      <c r="AK105" s="1790"/>
      <c r="AL105" s="1790"/>
      <c r="AM105" s="1790"/>
      <c r="AN105" s="1790"/>
      <c r="AO105" s="1790"/>
      <c r="AP105" s="1790"/>
      <c r="AQ105" s="1790"/>
      <c r="AR105" s="1790"/>
      <c r="AS105" s="1790"/>
      <c r="AT105" s="1790"/>
      <c r="AU105" s="20"/>
      <c r="AV105" s="20"/>
      <c r="AW105" s="20"/>
      <c r="AX105" s="20"/>
      <c r="AY105" s="20"/>
    </row>
    <row r="106" spans="1:57" ht="12.95" customHeight="1">
      <c r="A106" s="1790"/>
      <c r="B106" s="1790"/>
      <c r="C106" s="1790"/>
      <c r="D106" s="1790"/>
      <c r="E106" s="1790"/>
      <c r="F106" s="1790"/>
      <c r="G106" s="1790"/>
      <c r="H106" s="1790"/>
      <c r="I106" s="1790"/>
      <c r="J106" s="1790"/>
      <c r="K106" s="1790"/>
      <c r="L106" s="1790"/>
      <c r="M106" s="1790"/>
      <c r="N106" s="1790"/>
      <c r="O106" s="1790"/>
      <c r="P106" s="1790"/>
      <c r="Q106" s="1790"/>
      <c r="R106" s="1790"/>
      <c r="S106" s="1790"/>
      <c r="T106" s="1790"/>
      <c r="U106" s="1790"/>
      <c r="V106" s="1790"/>
      <c r="W106" s="1790"/>
      <c r="X106" s="1790"/>
      <c r="Y106" s="1790"/>
      <c r="Z106" s="1790"/>
      <c r="AA106" s="1790"/>
      <c r="AB106" s="1790"/>
      <c r="AC106" s="1790"/>
      <c r="AD106" s="1790"/>
      <c r="AE106" s="1790"/>
      <c r="AF106" s="1790"/>
      <c r="AG106" s="1790"/>
      <c r="AH106" s="1790"/>
      <c r="AI106" s="1790"/>
      <c r="AJ106" s="1790"/>
      <c r="AK106" s="1790"/>
      <c r="AL106" s="1790"/>
      <c r="AM106" s="1790"/>
      <c r="AN106" s="1790"/>
      <c r="AO106" s="1790"/>
      <c r="AP106" s="1790"/>
      <c r="AQ106" s="1790"/>
      <c r="AR106" s="1790"/>
      <c r="AS106" s="1790"/>
      <c r="AT106" s="1790"/>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1"/>
      <c r="H113" s="1791"/>
      <c r="I113" s="3" t="s">
        <v>182</v>
      </c>
      <c r="L113" s="1791"/>
      <c r="M113" s="1791"/>
      <c r="N113" s="1791"/>
      <c r="O113" s="1791"/>
      <c r="P113" s="1797" t="s">
        <v>2240</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c r="D115" s="1803"/>
      <c r="E115" s="1803"/>
      <c r="F115" s="1803"/>
      <c r="G115" s="1803"/>
      <c r="H115" s="1803"/>
      <c r="I115" s="1803"/>
      <c r="J115" s="1803"/>
      <c r="K115" s="1803"/>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1"/>
      <c r="Z117" s="1791"/>
      <c r="AA117" s="1791"/>
      <c r="AB117" s="1791"/>
      <c r="AC117" s="1791"/>
      <c r="AD117" s="1791"/>
      <c r="AE117" s="1791"/>
      <c r="AF117" s="1791"/>
      <c r="AG117" s="1791"/>
      <c r="AH117" s="1791"/>
      <c r="AI117" s="1791"/>
      <c r="AJ117" s="1791"/>
      <c r="AK117" s="1791"/>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1"/>
      <c r="Z120" s="1791"/>
      <c r="AA120" s="1791"/>
      <c r="AB120" s="1791"/>
      <c r="AC120" s="1791"/>
      <c r="AD120" s="1791"/>
      <c r="AE120" s="1791"/>
      <c r="AF120" s="1791"/>
      <c r="AG120" s="1791"/>
      <c r="AH120" s="1791"/>
      <c r="AI120" s="1791"/>
      <c r="AJ120" s="1791"/>
      <c r="AK120" s="1791"/>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Sonoma</v>
      </c>
      <c r="DH122" s="1655"/>
      <c r="DI122" s="1655"/>
      <c r="DJ122" s="1655"/>
      <c r="DK122" s="1655"/>
      <c r="DL122" s="1655"/>
      <c r="DM122" s="1656"/>
    </row>
    <row r="123" spans="1:117" ht="12.95" customHeight="1">
      <c r="A123" s="3"/>
      <c r="B123" s="3"/>
      <c r="T123" s="3"/>
      <c r="U123" s="3"/>
      <c r="V123" s="3"/>
      <c r="W123" s="3"/>
      <c r="X123" s="3"/>
      <c r="Y123" s="1791"/>
      <c r="Z123" s="1791"/>
      <c r="AA123" s="1791"/>
      <c r="AB123" s="1791"/>
      <c r="AC123" s="1791"/>
      <c r="AD123" s="1791"/>
      <c r="AE123" s="1791"/>
      <c r="AF123" s="1791"/>
      <c r="AG123" s="1791"/>
      <c r="AH123" s="1791"/>
      <c r="AI123" s="1791"/>
      <c r="AJ123" s="1791"/>
      <c r="AK123" s="1791"/>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5" customHeight="1">
      <c r="BM152">
        <v>4</v>
      </c>
      <c r="BN152" s="3" t="s">
        <v>2465</v>
      </c>
    </row>
    <row r="153" spans="1:108" ht="12.95" customHeight="1">
      <c r="D153" t="s">
        <v>646</v>
      </c>
      <c r="O153" s="1417" t="s">
        <v>2636</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2467</v>
      </c>
      <c r="CR153" s="31" t="s">
        <v>2600</v>
      </c>
      <c r="CS153" s="32"/>
      <c r="CT153" s="32"/>
      <c r="CU153" s="32"/>
      <c r="CV153" s="32"/>
      <c r="CW153" s="32"/>
      <c r="CX153" s="14"/>
      <c r="CY153" s="31" t="s">
        <v>2601</v>
      </c>
      <c r="CZ153" s="14"/>
      <c r="DA153" s="14"/>
      <c r="DB153" s="14"/>
      <c r="DC153" s="14"/>
      <c r="DD153" s="14"/>
    </row>
    <row r="154" spans="1:108" ht="12.95" customHeight="1">
      <c r="D154" s="303" t="s">
        <v>440</v>
      </c>
      <c r="O154" s="1458" t="s">
        <v>2637</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2468</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2" t="s">
        <v>441</v>
      </c>
      <c r="P155" s="1812"/>
      <c r="Q155" s="1812"/>
      <c r="R155" s="1812"/>
      <c r="S155" s="1812"/>
      <c r="T155" s="1812"/>
      <c r="U155" s="1812"/>
      <c r="V155" s="1812"/>
      <c r="W155" s="1812"/>
      <c r="X155" s="1812"/>
      <c r="Y155" s="1812"/>
      <c r="Z155" s="1812"/>
      <c r="AA155" s="1812"/>
      <c r="AB155" s="1812"/>
      <c r="AC155" s="1812"/>
      <c r="AD155" s="1812"/>
      <c r="AE155" s="1812"/>
      <c r="AF155" s="1812"/>
      <c r="AG155" s="1812"/>
      <c r="AH155" s="1812"/>
      <c r="BM155">
        <v>7</v>
      </c>
      <c r="BN155" s="3" t="s">
        <v>592</v>
      </c>
      <c r="CR155" s="31"/>
      <c r="CS155" s="32"/>
      <c r="CT155" s="32"/>
      <c r="CU155" s="32"/>
      <c r="CV155" s="32"/>
      <c r="CW155" s="32"/>
      <c r="CX155" s="14"/>
      <c r="CY155" s="31"/>
      <c r="CZ155" s="14"/>
      <c r="DA155" s="14"/>
      <c r="DB155" s="14"/>
      <c r="DC155" s="14"/>
      <c r="DD155" s="14"/>
    </row>
    <row r="156" spans="1:108" ht="12.95" customHeight="1">
      <c r="D156" t="s">
        <v>313</v>
      </c>
      <c r="O156" s="1417" t="s">
        <v>2638</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2616</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4"/>
      <c r="P158" s="1794"/>
      <c r="Q158" s="1794"/>
      <c r="R158" s="1794"/>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77" t="s">
        <v>2639</v>
      </c>
      <c r="P159" s="1782"/>
      <c r="Q159" s="1782"/>
      <c r="R159" s="1782"/>
      <c r="S159" s="1782"/>
      <c r="T159" s="1782"/>
      <c r="V159" s="97" t="s">
        <v>271</v>
      </c>
      <c r="W159" s="1795"/>
      <c r="X159" s="1795"/>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2"/>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6" t="s">
        <v>2640</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4" t="s">
        <v>2217</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11" t="s">
        <v>371</v>
      </c>
      <c r="K173" s="1811"/>
      <c r="L173" s="1811"/>
      <c r="M173" s="1811"/>
      <c r="N173" s="1811"/>
      <c r="O173" s="1811"/>
      <c r="P173" s="1811"/>
      <c r="Q173" s="1811"/>
      <c r="R173" s="1811"/>
      <c r="S173" s="1811"/>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1203</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2080</v>
      </c>
      <c r="T176" s="27" t="s">
        <v>305</v>
      </c>
      <c r="U176" s="1426"/>
      <c r="V176" s="1426"/>
      <c r="W176" s="1" t="s">
        <v>306</v>
      </c>
      <c r="X176" s="1785"/>
      <c r="Y176" s="1785"/>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1204</v>
      </c>
      <c r="AA178" t="s">
        <v>2080</v>
      </c>
      <c r="AE178" s="27" t="s">
        <v>305</v>
      </c>
      <c r="AF178" s="1784"/>
      <c r="AG178" s="1784"/>
      <c r="AH178" s="1" t="s">
        <v>306</v>
      </c>
      <c r="AI178" s="1808"/>
      <c r="AJ178" s="1808"/>
      <c r="AK178" s="1808"/>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2081</v>
      </c>
      <c r="X180" s="1332"/>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Baumgardner Ranch Homes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458" t="s">
        <v>2615</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6" t="s">
        <v>2614</v>
      </c>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2616</v>
      </c>
      <c r="J189" s="1372"/>
      <c r="K189" s="1372"/>
      <c r="L189" s="1372"/>
      <c r="M189" s="1372"/>
      <c r="N189" s="1372"/>
      <c r="O189" s="1372"/>
      <c r="P189" s="1372"/>
      <c r="Q189" t="s">
        <v>583</v>
      </c>
      <c r="T189" s="1372" t="s">
        <v>174</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95425</v>
      </c>
      <c r="J190" s="1349"/>
      <c r="K190" s="1349"/>
      <c r="L190" s="1349"/>
      <c r="M190" s="1349"/>
      <c r="N190" s="1349"/>
      <c r="O190" t="s">
        <v>586</v>
      </c>
      <c r="T190" s="1792">
        <v>1542.02</v>
      </c>
      <c r="U190" s="1792"/>
      <c r="V190" s="1792"/>
      <c r="W190" s="1792"/>
      <c r="X190" s="1792"/>
      <c r="Y190" s="1792"/>
      <c r="Z190" s="1792"/>
      <c r="AA190" s="1792"/>
      <c r="AB190" s="1792"/>
      <c r="AC190" s="1792"/>
      <c r="AD190" s="1792"/>
      <c r="AE190" s="1792"/>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6" t="s">
        <v>2617</v>
      </c>
      <c r="O191" s="1807"/>
      <c r="P191" s="1807"/>
      <c r="Q191" s="1807"/>
      <c r="R191" s="1807"/>
      <c r="S191" s="1807"/>
      <c r="T191" s="1807"/>
      <c r="U191" s="1807"/>
      <c r="V191" s="1807"/>
      <c r="W191" s="1807"/>
      <c r="X191" s="1807"/>
      <c r="Y191" s="1807"/>
      <c r="Z191" s="1807"/>
      <c r="AA191" s="1807"/>
      <c r="AB191" s="1807"/>
      <c r="AC191" s="1807"/>
      <c r="AD191" s="1807"/>
      <c r="AE191" s="1807"/>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2082</v>
      </c>
      <c r="M193" s="40"/>
      <c r="N193" s="894"/>
      <c r="O193" s="894"/>
      <c r="P193" s="894"/>
      <c r="Q193" s="894"/>
      <c r="R193" s="894"/>
      <c r="S193" s="894"/>
      <c r="T193" s="1796" t="s">
        <v>2214</v>
      </c>
      <c r="U193" s="1796"/>
      <c r="V193" s="1796"/>
      <c r="W193" s="1796"/>
      <c r="X193" s="1796"/>
      <c r="Y193" s="1796"/>
      <c r="Z193" s="1796"/>
      <c r="AA193" s="1796"/>
      <c r="AB193" s="1796"/>
      <c r="AC193" s="1796"/>
      <c r="AD193" s="1796"/>
      <c r="AE193" s="1796"/>
      <c r="AF193" s="1796"/>
      <c r="AG193" s="1796"/>
      <c r="AH193" s="1796"/>
      <c r="AI193" s="1796"/>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2216</v>
      </c>
      <c r="M194" s="40"/>
      <c r="N194" s="894"/>
      <c r="O194" s="894"/>
      <c r="P194" s="894"/>
      <c r="Q194" s="894"/>
      <c r="R194" s="894"/>
      <c r="S194" s="894"/>
      <c r="AH194" s="1332" t="s">
        <v>670</v>
      </c>
      <c r="AI194" s="1332"/>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670</v>
      </c>
      <c r="U195" s="1332"/>
      <c r="W195" t="s">
        <v>685</v>
      </c>
      <c r="AH195" s="1332">
        <v>2</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670</v>
      </c>
      <c r="U196" s="1403"/>
      <c r="W196" t="s">
        <v>686</v>
      </c>
      <c r="AH196" s="1332">
        <v>2</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2</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1653</v>
      </c>
      <c r="E198"/>
      <c r="F198"/>
      <c r="G198"/>
      <c r="H198"/>
      <c r="I198"/>
      <c r="J198"/>
      <c r="K198"/>
      <c r="L198"/>
      <c r="M198"/>
      <c r="N198"/>
      <c r="O198"/>
      <c r="P198"/>
      <c r="Q198"/>
      <c r="R198"/>
      <c r="S198"/>
      <c r="T198" s="1801" t="s">
        <v>670</v>
      </c>
      <c r="U198" s="1403"/>
      <c r="V198"/>
      <c r="X198" s="1414" t="s">
        <v>2514</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2517</v>
      </c>
      <c r="E199"/>
      <c r="F199"/>
      <c r="G199"/>
      <c r="H199"/>
      <c r="I199"/>
      <c r="J199"/>
      <c r="K199"/>
      <c r="L199"/>
      <c r="M199"/>
      <c r="N199"/>
      <c r="O199"/>
      <c r="P199"/>
      <c r="Q199"/>
      <c r="R199"/>
      <c r="S199"/>
      <c r="T199" s="1332" t="s">
        <v>546</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2515</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5">
        <f>M26</f>
        <v>1000632</v>
      </c>
      <c r="Q204" s="1783"/>
      <c r="R204" s="1783"/>
      <c r="S204" s="1783"/>
      <c r="T204" s="1783"/>
      <c r="U204" s="1783"/>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5" t="s">
        <v>1248</v>
      </c>
      <c r="E205" s="1359"/>
      <c r="F205" s="1359"/>
      <c r="G205" s="1359"/>
      <c r="H205" s="1359"/>
      <c r="I205" s="1359"/>
      <c r="J205" s="1359"/>
      <c r="K205" s="1359"/>
      <c r="L205" s="1359"/>
      <c r="M205" s="1359"/>
      <c r="P205" s="1783">
        <f>M27</f>
        <v>12936891</v>
      </c>
      <c r="Q205" s="1783"/>
      <c r="R205" s="1783"/>
      <c r="S205" s="1783"/>
      <c r="T205" s="1783"/>
      <c r="U205" s="1783"/>
      <c r="V205" s="28"/>
      <c r="W205" s="3" t="s">
        <v>1721</v>
      </c>
      <c r="Z205" s="1813" t="s">
        <v>2224</v>
      </c>
      <c r="AA205" s="1813"/>
      <c r="AB205" s="1813"/>
      <c r="AC205" s="1813"/>
      <c r="AD205" s="1813"/>
      <c r="AE205" s="1813"/>
      <c r="AF205" s="1813"/>
      <c r="AG205" s="1813"/>
      <c r="AH205" s="1813"/>
      <c r="AI205" s="1813"/>
      <c r="AJ205" s="1813"/>
      <c r="AK205" s="1813"/>
      <c r="AL205" s="1813"/>
      <c r="AM205" s="1813"/>
      <c r="AN205" s="1813"/>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2621</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1042</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2231</v>
      </c>
      <c r="Q212" s="1332"/>
      <c r="R212" s="1332"/>
      <c r="T212" s="1798">
        <f>IFERROR(Q212/AG440,0)</f>
        <v>0</v>
      </c>
      <c r="U212" s="1799"/>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2" t="s">
        <v>592</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1654</v>
      </c>
      <c r="Z215" s="40"/>
      <c r="AB215" s="1800"/>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1652</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2234</v>
      </c>
      <c r="D218" s="28"/>
      <c r="AC218" s="2" t="s">
        <v>2463</v>
      </c>
      <c r="BC218" t="s">
        <v>530</v>
      </c>
    </row>
    <row r="219" spans="1:108" ht="12.95" customHeight="1">
      <c r="A219" s="2"/>
      <c r="C219" s="2"/>
      <c r="D219" s="3" t="s">
        <v>2464</v>
      </c>
      <c r="AZ219" s="3"/>
      <c r="BA219" s="3"/>
      <c r="BC219" t="s">
        <v>377</v>
      </c>
    </row>
    <row r="220" spans="1:108" ht="12.95" customHeight="1">
      <c r="A220" s="2"/>
      <c r="C220" s="2"/>
      <c r="D220" s="1418" t="s">
        <v>1066</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4" t="s">
        <v>2465</v>
      </c>
      <c r="AD220" s="1814"/>
      <c r="AE220" s="1814"/>
      <c r="AF220" s="1814"/>
      <c r="AG220" s="1814"/>
      <c r="AH220" s="1814"/>
      <c r="AI220" s="1814"/>
      <c r="AJ220" s="1814"/>
      <c r="AK220" s="1814"/>
      <c r="AL220" s="1814"/>
      <c r="AM220" s="1814"/>
      <c r="AN220" s="1814"/>
      <c r="AO220" s="1814"/>
      <c r="AP220" s="1814"/>
      <c r="AQ220" s="1814"/>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3" t="str">
        <f>H16</f>
        <v>Corporation for Better Housing, a 501 (c)(3) non-profit</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2641</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2642</v>
      </c>
      <c r="N234" s="1418"/>
      <c r="O234" s="1418"/>
      <c r="P234" s="1418"/>
      <c r="Q234" s="1418"/>
      <c r="R234" s="1418"/>
      <c r="S234" s="1418"/>
      <c r="T234" s="1418"/>
      <c r="V234" s="33" t="s">
        <v>86</v>
      </c>
      <c r="W234" s="1458" t="s">
        <v>2643</v>
      </c>
      <c r="X234" s="1437"/>
      <c r="Y234" s="4" t="s">
        <v>584</v>
      </c>
      <c r="AC234" s="1418">
        <v>91364</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2644</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2645</v>
      </c>
      <c r="N236" s="1347"/>
      <c r="O236" s="1347"/>
      <c r="P236" s="1347"/>
      <c r="Q236" s="1347"/>
      <c r="R236" s="1347"/>
      <c r="S236" s="4" t="s">
        <v>206</v>
      </c>
      <c r="T236" s="4"/>
      <c r="U236" s="1437"/>
      <c r="V236" s="1437"/>
      <c r="W236" s="1437"/>
      <c r="X236" s="4" t="s">
        <v>89</v>
      </c>
      <c r="Z236" s="1346" t="s">
        <v>592</v>
      </c>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6" t="s">
        <v>2646</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377</v>
      </c>
      <c r="N238" s="1349"/>
      <c r="O238" s="1349"/>
      <c r="P238" s="1349"/>
      <c r="Q238" s="1349"/>
      <c r="R238" s="1349"/>
      <c r="S238" s="1349"/>
      <c r="T238" s="1349"/>
      <c r="U238" s="204" t="s">
        <v>907</v>
      </c>
      <c r="V238" s="204"/>
      <c r="W238" s="204"/>
      <c r="X238" s="204"/>
      <c r="Y238" s="204"/>
      <c r="Z238" s="204"/>
      <c r="AA238" s="1787" t="s">
        <v>592</v>
      </c>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5" customHeight="1">
      <c r="D240" s="4"/>
      <c r="BB240" s="204" t="s">
        <v>878</v>
      </c>
      <c r="BG240" s="241">
        <f>IF(AND(AND($M$249="for profit",$M$257="for profit",$M$265="for profit")),3,0)</f>
        <v>0</v>
      </c>
    </row>
    <row r="241" spans="1:67" ht="12.95"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2624</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2625</v>
      </c>
      <c r="AG243" s="1421"/>
      <c r="AH243" s="1421"/>
      <c r="AI243" s="1421"/>
      <c r="AJ243" s="1421"/>
      <c r="AK243" s="142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8" t="str">
        <f>+M233</f>
        <v>20750 Ventura Blvd., Suite 155</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8" t="str">
        <f>+M234</f>
        <v>Woodland Hills</v>
      </c>
      <c r="N245" s="1418"/>
      <c r="O245" s="1418"/>
      <c r="P245" s="1418"/>
      <c r="Q245" s="1418"/>
      <c r="R245" s="1418"/>
      <c r="S245" s="1418"/>
      <c r="T245" s="1418"/>
      <c r="V245" s="33" t="s">
        <v>86</v>
      </c>
      <c r="W245" s="1437" t="str">
        <f>+W234</f>
        <v>CA</v>
      </c>
      <c r="X245" s="1437"/>
      <c r="Y245" s="4" t="s">
        <v>584</v>
      </c>
      <c r="AC245" s="1418">
        <f>+AC234</f>
        <v>91364</v>
      </c>
      <c r="AD245" s="1418"/>
      <c r="AE245" s="1418"/>
      <c r="AF245" s="3" t="s">
        <v>1181</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8" t="str">
        <f>+M235</f>
        <v>Lori Koester</v>
      </c>
      <c r="N246" s="1418"/>
      <c r="O246" s="1418"/>
      <c r="P246" s="1418"/>
      <c r="Q246" s="1418"/>
      <c r="R246" s="1418"/>
      <c r="S246" s="1418"/>
      <c r="T246" s="1418"/>
      <c r="U246" s="1418"/>
      <c r="V246" s="1418"/>
      <c r="W246" s="1418"/>
      <c r="X246" s="1418"/>
      <c r="Y246" s="1418"/>
      <c r="Z246" s="1418"/>
      <c r="AA246" s="1418"/>
      <c r="AB246" s="1418"/>
      <c r="AC246" s="1418"/>
      <c r="AD246" s="1418"/>
      <c r="AE246" s="1418"/>
      <c r="AH246" s="1780">
        <v>0.1</v>
      </c>
      <c r="AI246" s="1780"/>
      <c r="AJ246" s="1780"/>
      <c r="AK246" s="1780"/>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7" t="str">
        <f>+M236</f>
        <v>818-905-2430</v>
      </c>
      <c r="N247" s="1347"/>
      <c r="O247" s="1347"/>
      <c r="P247" s="1347"/>
      <c r="Q247" s="1347"/>
      <c r="R247" s="1347"/>
      <c r="S247" s="4" t="s">
        <v>206</v>
      </c>
      <c r="T247" s="4"/>
      <c r="U247" s="1437"/>
      <c r="V247" s="1437"/>
      <c r="W247" s="1437"/>
      <c r="X247" s="4" t="s">
        <v>89</v>
      </c>
      <c r="Z247" s="1347" t="s">
        <v>592</v>
      </c>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6" t="str">
        <f>+M237</f>
        <v>lkoester@corpoffices.org</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907</v>
      </c>
      <c r="V249" s="204"/>
      <c r="W249" s="204"/>
      <c r="X249" s="204"/>
      <c r="Y249" s="204"/>
      <c r="Z249" s="204"/>
      <c r="AA249" s="1778"/>
      <c r="AB249" s="1778"/>
      <c r="AC249" s="1778"/>
      <c r="AD249" s="1778"/>
      <c r="AE249" s="1778"/>
      <c r="AF249" s="1778"/>
      <c r="AG249" s="1778"/>
      <c r="AH249" s="1778"/>
      <c r="AI249" s="1778"/>
      <c r="AJ249" s="1778"/>
      <c r="AK249" s="1778"/>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21"/>
      <c r="N251" s="1421"/>
      <c r="O251" s="1421"/>
      <c r="P251" s="1421"/>
      <c r="Q251" s="1421"/>
      <c r="R251" s="1421"/>
      <c r="S251" s="1421"/>
      <c r="T251" s="1421"/>
      <c r="U251" s="1421"/>
      <c r="V251" s="1421"/>
      <c r="W251" s="1421"/>
      <c r="X251" s="1421"/>
      <c r="Y251" s="1421"/>
      <c r="Z251" s="1421"/>
      <c r="AA251" s="1421"/>
      <c r="AB251" s="1421"/>
      <c r="AC251" s="1421"/>
      <c r="AD251" s="1421"/>
      <c r="AE251" s="1421"/>
      <c r="AF251" s="1421" t="s">
        <v>307</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2.95" customHeight="1">
      <c r="A253" s="19"/>
      <c r="B253" s="4"/>
      <c r="C253" s="4"/>
      <c r="D253" s="4" t="s">
        <v>581</v>
      </c>
      <c r="E253" s="4"/>
      <c r="M253" s="1418"/>
      <c r="N253" s="1418"/>
      <c r="O253" s="1418"/>
      <c r="P253" s="1418"/>
      <c r="Q253" s="1418"/>
      <c r="R253" s="1418"/>
      <c r="S253" s="1418"/>
      <c r="T253" s="1418"/>
      <c r="V253" s="33" t="s">
        <v>86</v>
      </c>
      <c r="W253" s="1437"/>
      <c r="X253" s="1437"/>
      <c r="Y253" s="4" t="s">
        <v>584</v>
      </c>
      <c r="AC253" s="1418"/>
      <c r="AD253" s="1418"/>
      <c r="AE253" s="1418"/>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8"/>
      <c r="N254" s="1418"/>
      <c r="O254" s="1418"/>
      <c r="P254" s="1418"/>
      <c r="Q254" s="1418"/>
      <c r="R254" s="1418"/>
      <c r="S254" s="1418"/>
      <c r="T254" s="1418"/>
      <c r="U254" s="1418"/>
      <c r="V254" s="1418"/>
      <c r="W254" s="1418"/>
      <c r="X254" s="1418"/>
      <c r="Y254" s="1418"/>
      <c r="Z254" s="1418"/>
      <c r="AA254" s="1418"/>
      <c r="AB254" s="1418"/>
      <c r="AC254" s="1418"/>
      <c r="AD254" s="1418"/>
      <c r="AE254" s="1418"/>
      <c r="AH254" s="1780"/>
      <c r="AI254" s="1780"/>
      <c r="AJ254" s="1780"/>
      <c r="AK254" s="1780"/>
      <c r="AL254" s="4"/>
      <c r="AM254" s="4"/>
      <c r="AN254" s="4"/>
      <c r="AO254" s="4"/>
      <c r="AP254" s="4"/>
      <c r="AQ254" s="4"/>
      <c r="AR254" s="4"/>
      <c r="AS254" s="4"/>
      <c r="AT254" s="4"/>
    </row>
    <row r="255" spans="1:67" ht="12.95" customHeight="1">
      <c r="A255" s="19"/>
      <c r="B255" s="4"/>
      <c r="C255" s="4"/>
      <c r="D255" s="4" t="s">
        <v>88</v>
      </c>
      <c r="E255" s="4"/>
      <c r="F255" s="4"/>
      <c r="M255" s="1347"/>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6"/>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307</v>
      </c>
      <c r="N257" s="1349"/>
      <c r="O257" s="1349"/>
      <c r="P257" s="1349"/>
      <c r="Q257" s="1349"/>
      <c r="R257" s="1349"/>
      <c r="S257" s="1349"/>
      <c r="T257" s="1349"/>
      <c r="U257" s="204" t="s">
        <v>907</v>
      </c>
      <c r="V257" s="204"/>
      <c r="W257" s="204"/>
      <c r="X257" s="204"/>
      <c r="Y257" s="204"/>
      <c r="Z257" s="204"/>
      <c r="AA257" s="1778"/>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7"/>
      <c r="X261" s="1437"/>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1" t="str">
        <f>IFERROR(BO245,"")</f>
        <v>Nonprofit</v>
      </c>
      <c r="U267" s="1781"/>
      <c r="V267" s="1781"/>
      <c r="W267" s="1781"/>
      <c r="X267" s="1781"/>
      <c r="Z267" s="307" t="s">
        <v>955</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2716</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2717</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2626</v>
      </c>
      <c r="M276" s="1418"/>
      <c r="N276" s="1418"/>
      <c r="O276" s="1418"/>
      <c r="P276" s="1418"/>
      <c r="Q276" s="1418"/>
      <c r="R276" s="1418"/>
      <c r="S276" s="1418"/>
      <c r="U276" s="33" t="s">
        <v>86</v>
      </c>
      <c r="V276" s="1458" t="s">
        <v>2643</v>
      </c>
      <c r="W276" s="1437"/>
      <c r="X276" s="4" t="s">
        <v>584</v>
      </c>
      <c r="AB276" s="1418">
        <v>90036</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2648</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2649</v>
      </c>
      <c r="M278" s="1347"/>
      <c r="N278" s="1347"/>
      <c r="O278" s="1347"/>
      <c r="P278" s="1347"/>
      <c r="Q278" s="1347"/>
      <c r="R278" s="4" t="s">
        <v>206</v>
      </c>
      <c r="S278" s="4"/>
      <c r="T278" s="1437"/>
      <c r="U278" s="1437"/>
      <c r="V278" s="1437"/>
      <c r="W278" s="4" t="s">
        <v>89</v>
      </c>
      <c r="Y278" s="1347" t="s">
        <v>592</v>
      </c>
      <c r="Z278" s="1347"/>
      <c r="AA278" s="1347"/>
      <c r="AB278" s="1347"/>
      <c r="AC278" s="1347"/>
      <c r="AD278" s="1347"/>
    </row>
    <row r="279" spans="1:51" ht="12.95" customHeight="1">
      <c r="D279" s="4" t="s">
        <v>90</v>
      </c>
      <c r="E279" s="4"/>
      <c r="F279" s="4"/>
      <c r="L279" s="1786" t="s">
        <v>2650</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2.95" customHeight="1">
      <c r="D280" s="3" t="s">
        <v>624</v>
      </c>
      <c r="E280" s="3"/>
      <c r="F280" s="3"/>
      <c r="G280" s="3"/>
      <c r="H280" s="3"/>
      <c r="I280" s="3"/>
      <c r="L280" s="1458" t="s">
        <v>2651</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17" t="s">
        <v>2624</v>
      </c>
      <c r="I287" s="1372"/>
      <c r="J287" s="1372"/>
      <c r="K287" s="1372"/>
      <c r="L287" s="1372"/>
      <c r="M287" s="1372"/>
      <c r="N287" s="1372"/>
      <c r="O287" s="1372"/>
      <c r="P287" s="1372"/>
      <c r="Q287" s="1372"/>
      <c r="R287" s="1372"/>
      <c r="T287" s="3" t="s">
        <v>568</v>
      </c>
      <c r="V287" s="3"/>
      <c r="W287" s="3"/>
      <c r="X287" s="3"/>
      <c r="Y287" s="3"/>
      <c r="AA287" s="1417" t="s">
        <v>2703</v>
      </c>
      <c r="AB287" s="1372"/>
      <c r="AC287" s="1372"/>
      <c r="AD287" s="1372"/>
      <c r="AE287" s="1372"/>
      <c r="AF287" s="1372"/>
      <c r="AG287" s="1372"/>
      <c r="AH287" s="1372"/>
      <c r="AI287" s="1372"/>
      <c r="AJ287" s="1372"/>
      <c r="AK287" s="1372"/>
    </row>
    <row r="288" spans="1:51" ht="12.95" customHeight="1">
      <c r="B288" s="3" t="s">
        <v>472</v>
      </c>
      <c r="C288" s="3"/>
      <c r="D288" s="3"/>
      <c r="E288" s="3"/>
      <c r="F288" s="3"/>
      <c r="H288" s="1458" t="s">
        <v>2641</v>
      </c>
      <c r="I288" s="1349"/>
      <c r="J288" s="1349"/>
      <c r="K288" s="1349"/>
      <c r="L288" s="1349"/>
      <c r="M288" s="1349"/>
      <c r="N288" s="1349"/>
      <c r="O288" s="1349"/>
      <c r="P288" s="1349"/>
      <c r="Q288" s="1349"/>
      <c r="R288" s="1349"/>
      <c r="T288" s="3" t="s">
        <v>472</v>
      </c>
      <c r="V288" s="3"/>
      <c r="W288" s="3"/>
      <c r="X288" s="3"/>
      <c r="Y288" s="3"/>
      <c r="AA288" s="1458" t="s">
        <v>2704</v>
      </c>
      <c r="AB288" s="1349"/>
      <c r="AC288" s="1349"/>
      <c r="AD288" s="1349"/>
      <c r="AE288" s="1349"/>
      <c r="AF288" s="1349"/>
      <c r="AG288" s="1349"/>
      <c r="AH288" s="1349"/>
      <c r="AI288" s="1349"/>
      <c r="AJ288" s="1349"/>
      <c r="AK288" s="1349"/>
    </row>
    <row r="289" spans="2:37" ht="12.95" customHeight="1">
      <c r="B289" s="3" t="s">
        <v>473</v>
      </c>
      <c r="C289" s="3"/>
      <c r="D289" s="3"/>
      <c r="E289" s="3"/>
      <c r="F289" s="3"/>
      <c r="H289" s="1458" t="s">
        <v>2652</v>
      </c>
      <c r="I289" s="1349"/>
      <c r="J289" s="1349"/>
      <c r="K289" s="1349"/>
      <c r="L289" s="1349"/>
      <c r="M289" s="1349"/>
      <c r="N289" s="1349"/>
      <c r="O289" s="1349"/>
      <c r="P289" s="1349"/>
      <c r="Q289" s="1349"/>
      <c r="R289" s="1349"/>
      <c r="T289" s="3" t="s">
        <v>75</v>
      </c>
      <c r="V289" s="3"/>
      <c r="W289" s="3"/>
      <c r="X289" s="3"/>
      <c r="Y289" s="3"/>
      <c r="AA289" s="1458" t="s">
        <v>2705</v>
      </c>
      <c r="AB289" s="1349"/>
      <c r="AC289" s="1349"/>
      <c r="AD289" s="1349"/>
      <c r="AE289" s="1349"/>
      <c r="AF289" s="1349"/>
      <c r="AG289" s="1349"/>
      <c r="AH289" s="1349"/>
      <c r="AI289" s="1349"/>
      <c r="AJ289" s="1349"/>
      <c r="AK289" s="1349"/>
    </row>
    <row r="290" spans="2:37" ht="12.95" customHeight="1">
      <c r="B290" s="3" t="s">
        <v>87</v>
      </c>
      <c r="C290" s="3"/>
      <c r="D290" s="3"/>
      <c r="E290" s="3"/>
      <c r="F290" s="3"/>
      <c r="H290" s="1458" t="s">
        <v>2644</v>
      </c>
      <c r="I290" s="1349"/>
      <c r="J290" s="1349"/>
      <c r="K290" s="1349"/>
      <c r="L290" s="1349"/>
      <c r="M290" s="1349"/>
      <c r="N290" s="1349"/>
      <c r="O290" s="1349"/>
      <c r="P290" s="1349"/>
      <c r="Q290" s="1349"/>
      <c r="R290" s="1349"/>
      <c r="T290" s="3" t="s">
        <v>87</v>
      </c>
      <c r="V290" s="3"/>
      <c r="W290" s="3"/>
      <c r="X290" s="3"/>
      <c r="Y290" s="3"/>
      <c r="AA290" s="1458" t="s">
        <v>2706</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777" t="s">
        <v>2645</v>
      </c>
      <c r="I291" s="1424"/>
      <c r="J291" s="1424"/>
      <c r="K291" s="1424"/>
      <c r="L291" s="1424"/>
      <c r="M291" s="1424"/>
      <c r="N291" s="4" t="s">
        <v>206</v>
      </c>
      <c r="O291" s="4"/>
      <c r="P291" s="1418"/>
      <c r="Q291" s="1418"/>
      <c r="R291" s="1418"/>
      <c r="S291" s="3"/>
      <c r="T291" s="3" t="s">
        <v>88</v>
      </c>
      <c r="V291" s="3"/>
      <c r="W291" s="3"/>
      <c r="X291" s="3"/>
      <c r="Y291" s="3"/>
      <c r="AA291" s="1777" t="s">
        <v>2707</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2.95" customHeight="1">
      <c r="B293" s="3" t="s">
        <v>76</v>
      </c>
      <c r="C293" s="3"/>
      <c r="D293" s="3"/>
      <c r="E293" s="3"/>
      <c r="F293" s="3"/>
      <c r="G293" s="3"/>
      <c r="H293" s="1458" t="s">
        <v>2646</v>
      </c>
      <c r="I293" s="1349"/>
      <c r="J293" s="1349"/>
      <c r="K293" s="1349"/>
      <c r="L293" s="1349"/>
      <c r="M293" s="1349"/>
      <c r="N293" s="1372"/>
      <c r="O293" s="1372"/>
      <c r="P293" s="1372"/>
      <c r="Q293" s="1372"/>
      <c r="R293" s="1372"/>
      <c r="S293" s="3"/>
      <c r="T293" s="3" t="s">
        <v>76</v>
      </c>
      <c r="V293" s="3"/>
      <c r="W293" s="3"/>
      <c r="X293" s="3"/>
      <c r="Y293" s="3"/>
      <c r="AA293" s="1458" t="s">
        <v>2708</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17" t="s">
        <v>592</v>
      </c>
      <c r="I295" s="1372"/>
      <c r="J295" s="1372"/>
      <c r="K295" s="1372"/>
      <c r="L295" s="1372"/>
      <c r="M295" s="1372"/>
      <c r="N295" s="1372"/>
      <c r="O295" s="1372"/>
      <c r="P295" s="1372"/>
      <c r="Q295" s="1372"/>
      <c r="R295" s="1372"/>
      <c r="T295" s="3" t="s">
        <v>364</v>
      </c>
      <c r="V295" s="3"/>
      <c r="W295" s="3"/>
      <c r="X295" s="3"/>
      <c r="Y295" s="3"/>
      <c r="AA295" s="1417" t="s">
        <v>2659</v>
      </c>
      <c r="AB295" s="1372"/>
      <c r="AC295" s="1372"/>
      <c r="AD295" s="1372"/>
      <c r="AE295" s="1372"/>
      <c r="AF295" s="1372"/>
      <c r="AG295" s="1372"/>
      <c r="AH295" s="1372"/>
      <c r="AI295" s="1372"/>
      <c r="AJ295" s="1372"/>
      <c r="AK295" s="1372"/>
    </row>
    <row r="296" spans="2:37" ht="12.95" customHeight="1">
      <c r="B296" s="3" t="s">
        <v>472</v>
      </c>
      <c r="C296" s="3"/>
      <c r="D296" s="3"/>
      <c r="E296" s="3"/>
      <c r="F296" s="3"/>
      <c r="H296" s="1349"/>
      <c r="I296" s="1349"/>
      <c r="J296" s="1349"/>
      <c r="K296" s="1349"/>
      <c r="L296" s="1349"/>
      <c r="M296" s="1349"/>
      <c r="N296" s="1349"/>
      <c r="O296" s="1349"/>
      <c r="P296" s="1349"/>
      <c r="Q296" s="1349"/>
      <c r="R296" s="1349"/>
      <c r="T296" s="3" t="s">
        <v>472</v>
      </c>
      <c r="V296" s="3"/>
      <c r="W296" s="3"/>
      <c r="X296" s="3"/>
      <c r="Y296" s="3"/>
      <c r="AA296" s="1458" t="s">
        <v>2647</v>
      </c>
      <c r="AB296" s="1349"/>
      <c r="AC296" s="1349"/>
      <c r="AD296" s="1349"/>
      <c r="AE296" s="1349"/>
      <c r="AF296" s="1349"/>
      <c r="AG296" s="1349"/>
      <c r="AH296" s="1349"/>
      <c r="AI296" s="1349"/>
      <c r="AJ296" s="1349"/>
      <c r="AK296" s="1349"/>
    </row>
    <row r="297" spans="2:37" ht="12.95" customHeight="1">
      <c r="B297" s="3" t="s">
        <v>473</v>
      </c>
      <c r="C297" s="3"/>
      <c r="D297" s="3"/>
      <c r="E297" s="3"/>
      <c r="F297" s="3"/>
      <c r="H297" s="1349"/>
      <c r="I297" s="1349"/>
      <c r="J297" s="1349"/>
      <c r="K297" s="1349"/>
      <c r="L297" s="1349"/>
      <c r="M297" s="1349"/>
      <c r="N297" s="1349"/>
      <c r="O297" s="1349"/>
      <c r="P297" s="1349"/>
      <c r="Q297" s="1349"/>
      <c r="R297" s="1349"/>
      <c r="T297" s="3" t="s">
        <v>75</v>
      </c>
      <c r="V297" s="3"/>
      <c r="W297" s="3"/>
      <c r="X297" s="3"/>
      <c r="Y297" s="3"/>
      <c r="AA297" s="1458" t="s">
        <v>2660</v>
      </c>
      <c r="AB297" s="1349"/>
      <c r="AC297" s="1349"/>
      <c r="AD297" s="1349"/>
      <c r="AE297" s="1349"/>
      <c r="AF297" s="1349"/>
      <c r="AG297" s="1349"/>
      <c r="AH297" s="1349"/>
      <c r="AI297" s="1349"/>
      <c r="AJ297" s="1349"/>
      <c r="AK297" s="1349"/>
    </row>
    <row r="298" spans="2:37" ht="12.95" customHeight="1">
      <c r="B298" s="3" t="s">
        <v>87</v>
      </c>
      <c r="C298" s="3"/>
      <c r="D298" s="3"/>
      <c r="E298" s="3"/>
      <c r="F298" s="3"/>
      <c r="H298" s="1349"/>
      <c r="I298" s="1349"/>
      <c r="J298" s="1349"/>
      <c r="K298" s="1349"/>
      <c r="L298" s="1349"/>
      <c r="M298" s="1349"/>
      <c r="N298" s="1349"/>
      <c r="O298" s="1349"/>
      <c r="P298" s="1349"/>
      <c r="Q298" s="1349"/>
      <c r="R298" s="1349"/>
      <c r="T298" s="3" t="s">
        <v>87</v>
      </c>
      <c r="V298" s="3"/>
      <c r="W298" s="3"/>
      <c r="X298" s="3"/>
      <c r="Y298" s="3"/>
      <c r="AA298" s="1458" t="s">
        <v>2661</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4"/>
      <c r="I299" s="1424"/>
      <c r="J299" s="1424"/>
      <c r="K299" s="1424"/>
      <c r="L299" s="1424"/>
      <c r="M299" s="1424"/>
      <c r="N299" s="4" t="s">
        <v>206</v>
      </c>
      <c r="O299" s="4"/>
      <c r="P299" s="1418"/>
      <c r="Q299" s="1418"/>
      <c r="R299" s="1418"/>
      <c r="S299" s="3"/>
      <c r="T299" s="3" t="s">
        <v>88</v>
      </c>
      <c r="V299" s="3"/>
      <c r="W299" s="3"/>
      <c r="X299" s="3"/>
      <c r="Y299" s="3"/>
      <c r="AA299" s="1777" t="s">
        <v>2662</v>
      </c>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6" t="s">
        <v>592</v>
      </c>
      <c r="AB300" s="1347"/>
      <c r="AC300" s="1347"/>
      <c r="AD300" s="1347"/>
      <c r="AE300" s="1347"/>
      <c r="AF300" s="1347"/>
      <c r="AG300" s="4"/>
      <c r="AH300" s="4"/>
      <c r="AI300" s="35"/>
      <c r="AJ300" s="35"/>
      <c r="AK300" s="35"/>
    </row>
    <row r="301" spans="2:37" ht="12.95" customHeight="1">
      <c r="B301" s="3" t="s">
        <v>76</v>
      </c>
      <c r="C301" s="3"/>
      <c r="D301" s="3"/>
      <c r="E301" s="3"/>
      <c r="F301" s="3"/>
      <c r="G301" s="3"/>
      <c r="H301" s="1349"/>
      <c r="I301" s="1349"/>
      <c r="J301" s="1349"/>
      <c r="K301" s="1349"/>
      <c r="L301" s="1349"/>
      <c r="M301" s="1349"/>
      <c r="N301" s="1372"/>
      <c r="O301" s="1372"/>
      <c r="P301" s="1372"/>
      <c r="Q301" s="1372"/>
      <c r="R301" s="1372"/>
      <c r="S301" s="3"/>
      <c r="T301" s="3" t="s">
        <v>76</v>
      </c>
      <c r="V301" s="3"/>
      <c r="W301" s="3"/>
      <c r="X301" s="3"/>
      <c r="Y301" s="3"/>
      <c r="AA301" s="1458" t="s">
        <v>2663</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417" t="s">
        <v>2664</v>
      </c>
      <c r="I303" s="1372"/>
      <c r="J303" s="1372"/>
      <c r="K303" s="1372"/>
      <c r="L303" s="1372"/>
      <c r="M303" s="1372"/>
      <c r="N303" s="1372"/>
      <c r="O303" s="1372"/>
      <c r="P303" s="1372"/>
      <c r="Q303" s="1372"/>
      <c r="R303" s="1372"/>
      <c r="T303" s="4" t="s">
        <v>879</v>
      </c>
      <c r="V303" s="3"/>
      <c r="W303" s="3"/>
      <c r="X303" s="3"/>
      <c r="Y303" s="3"/>
      <c r="AA303" s="1417" t="s">
        <v>2700</v>
      </c>
      <c r="AB303" s="1372"/>
      <c r="AC303" s="1372"/>
      <c r="AD303" s="1372"/>
      <c r="AE303" s="1372"/>
      <c r="AF303" s="1372"/>
      <c r="AG303" s="1372"/>
      <c r="AH303" s="1372"/>
      <c r="AI303" s="1372"/>
      <c r="AJ303" s="1372"/>
      <c r="AK303" s="1372"/>
    </row>
    <row r="304" spans="2:37" ht="12.95" customHeight="1">
      <c r="B304" s="3" t="s">
        <v>472</v>
      </c>
      <c r="C304" s="3"/>
      <c r="D304" s="3"/>
      <c r="E304" s="3"/>
      <c r="F304" s="3"/>
      <c r="H304" s="1458" t="s">
        <v>2665</v>
      </c>
      <c r="I304" s="1349"/>
      <c r="J304" s="1349"/>
      <c r="K304" s="1349"/>
      <c r="L304" s="1349"/>
      <c r="M304" s="1349"/>
      <c r="N304" s="1349"/>
      <c r="O304" s="1349"/>
      <c r="P304" s="1349"/>
      <c r="Q304" s="1349"/>
      <c r="R304" s="1349"/>
      <c r="T304" s="3" t="s">
        <v>472</v>
      </c>
      <c r="V304" s="3"/>
      <c r="W304" s="3"/>
      <c r="X304" s="3"/>
      <c r="Y304" s="3"/>
      <c r="AA304" s="1458" t="s">
        <v>2698</v>
      </c>
      <c r="AB304" s="1349"/>
      <c r="AC304" s="1349"/>
      <c r="AD304" s="1349"/>
      <c r="AE304" s="1349"/>
      <c r="AF304" s="1349"/>
      <c r="AG304" s="1349"/>
      <c r="AH304" s="1349"/>
      <c r="AI304" s="1349"/>
      <c r="AJ304" s="1349"/>
      <c r="AK304" s="1349"/>
    </row>
    <row r="305" spans="2:37" ht="12.95" customHeight="1">
      <c r="B305" s="3" t="s">
        <v>473</v>
      </c>
      <c r="C305" s="3"/>
      <c r="D305" s="3"/>
      <c r="E305" s="3"/>
      <c r="F305" s="3"/>
      <c r="H305" s="1458" t="s">
        <v>2666</v>
      </c>
      <c r="I305" s="1349"/>
      <c r="J305" s="1349"/>
      <c r="K305" s="1349"/>
      <c r="L305" s="1349"/>
      <c r="M305" s="1349"/>
      <c r="N305" s="1349"/>
      <c r="O305" s="1349"/>
      <c r="P305" s="1349"/>
      <c r="Q305" s="1349"/>
      <c r="R305" s="1349"/>
      <c r="T305" s="3" t="s">
        <v>75</v>
      </c>
      <c r="V305" s="3"/>
      <c r="W305" s="3"/>
      <c r="X305" s="3"/>
      <c r="Y305" s="3"/>
      <c r="AA305" s="1458" t="s">
        <v>2699</v>
      </c>
      <c r="AB305" s="1349"/>
      <c r="AC305" s="1349"/>
      <c r="AD305" s="1349"/>
      <c r="AE305" s="1349"/>
      <c r="AF305" s="1349"/>
      <c r="AG305" s="1349"/>
      <c r="AH305" s="1349"/>
      <c r="AI305" s="1349"/>
      <c r="AJ305" s="1349"/>
      <c r="AK305" s="1349"/>
    </row>
    <row r="306" spans="2:37" ht="12.95" customHeight="1">
      <c r="B306" s="3" t="s">
        <v>87</v>
      </c>
      <c r="C306" s="3"/>
      <c r="D306" s="3"/>
      <c r="E306" s="3"/>
      <c r="F306" s="3"/>
      <c r="H306" s="1458" t="s">
        <v>2667</v>
      </c>
      <c r="I306" s="1349"/>
      <c r="J306" s="1349"/>
      <c r="K306" s="1349"/>
      <c r="L306" s="1349"/>
      <c r="M306" s="1349"/>
      <c r="N306" s="1349"/>
      <c r="O306" s="1349"/>
      <c r="P306" s="1349"/>
      <c r="Q306" s="1349"/>
      <c r="R306" s="1349"/>
      <c r="T306" s="3" t="s">
        <v>87</v>
      </c>
      <c r="V306" s="3"/>
      <c r="W306" s="3"/>
      <c r="X306" s="3"/>
      <c r="Y306" s="3"/>
      <c r="AA306" s="1458" t="s">
        <v>2697</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4" t="s">
        <v>2668</v>
      </c>
      <c r="I307" s="1424"/>
      <c r="J307" s="1424"/>
      <c r="K307" s="1424"/>
      <c r="L307" s="1424"/>
      <c r="M307" s="1424"/>
      <c r="N307" s="4" t="s">
        <v>206</v>
      </c>
      <c r="O307" s="4"/>
      <c r="P307" s="1418"/>
      <c r="Q307" s="1418"/>
      <c r="R307" s="1418"/>
      <c r="S307" s="3"/>
      <c r="T307" s="3" t="s">
        <v>88</v>
      </c>
      <c r="V307" s="3"/>
      <c r="W307" s="3"/>
      <c r="X307" s="3"/>
      <c r="Y307" s="3"/>
      <c r="AA307" s="1777" t="s">
        <v>2701</v>
      </c>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t="s">
        <v>2669</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2670</v>
      </c>
      <c r="I309" s="1349"/>
      <c r="J309" s="1349"/>
      <c r="K309" s="1349"/>
      <c r="L309" s="1349"/>
      <c r="M309" s="1349"/>
      <c r="N309" s="1372"/>
      <c r="O309" s="1372"/>
      <c r="P309" s="1372"/>
      <c r="Q309" s="1372"/>
      <c r="R309" s="1372"/>
      <c r="S309" s="3"/>
      <c r="T309" s="3" t="s">
        <v>76</v>
      </c>
      <c r="V309" s="3"/>
      <c r="W309" s="3"/>
      <c r="X309" s="3"/>
      <c r="Y309" s="3"/>
      <c r="AA309" s="1458" t="s">
        <v>2702</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17" t="s">
        <v>592</v>
      </c>
      <c r="I311" s="1372"/>
      <c r="J311" s="1372"/>
      <c r="K311" s="1372"/>
      <c r="L311" s="1372"/>
      <c r="M311" s="1372"/>
      <c r="N311" s="1372"/>
      <c r="O311" s="1372"/>
      <c r="P311" s="1372"/>
      <c r="Q311" s="1372"/>
      <c r="R311" s="1372"/>
      <c r="S311" s="3"/>
      <c r="T311" s="3" t="s">
        <v>365</v>
      </c>
      <c r="V311" s="3"/>
      <c r="W311" s="3"/>
      <c r="X311" s="3"/>
      <c r="Y311" s="3"/>
      <c r="AA311" s="1372" t="s">
        <v>2671</v>
      </c>
      <c r="AB311" s="1372"/>
      <c r="AC311" s="1372"/>
      <c r="AD311" s="1372"/>
      <c r="AE311" s="1372"/>
      <c r="AF311" s="1372"/>
      <c r="AG311" s="1372"/>
      <c r="AH311" s="1372"/>
      <c r="AI311" s="1372"/>
      <c r="AJ311" s="1372"/>
      <c r="AK311" s="1372"/>
    </row>
    <row r="312" spans="2:37" ht="12.95" customHeight="1">
      <c r="B312" s="3" t="s">
        <v>472</v>
      </c>
      <c r="C312" s="3"/>
      <c r="D312" s="3"/>
      <c r="E312" s="3"/>
      <c r="F312" s="3"/>
      <c r="H312" s="1349"/>
      <c r="I312" s="1349"/>
      <c r="J312" s="1349"/>
      <c r="K312" s="1349"/>
      <c r="L312" s="1349"/>
      <c r="M312" s="1349"/>
      <c r="N312" s="1349"/>
      <c r="O312" s="1349"/>
      <c r="P312" s="1349"/>
      <c r="Q312" s="1349"/>
      <c r="R312" s="1349"/>
      <c r="S312" s="3"/>
      <c r="T312" s="3" t="s">
        <v>472</v>
      </c>
      <c r="V312" s="3"/>
      <c r="W312" s="3"/>
      <c r="X312" s="3"/>
      <c r="Y312" s="3"/>
      <c r="AA312" s="1349" t="s">
        <v>2672</v>
      </c>
      <c r="AB312" s="1349"/>
      <c r="AC312" s="1349"/>
      <c r="AD312" s="1349"/>
      <c r="AE312" s="1349"/>
      <c r="AF312" s="1349"/>
      <c r="AG312" s="1349"/>
      <c r="AH312" s="1349"/>
      <c r="AI312" s="1349"/>
      <c r="AJ312" s="1349"/>
      <c r="AK312" s="1349"/>
    </row>
    <row r="313" spans="2:37" ht="12.95" customHeight="1">
      <c r="B313" s="3" t="s">
        <v>473</v>
      </c>
      <c r="C313" s="3"/>
      <c r="D313" s="3"/>
      <c r="E313" s="3"/>
      <c r="F313" s="3"/>
      <c r="H313" s="1349"/>
      <c r="I313" s="1349"/>
      <c r="J313" s="1349"/>
      <c r="K313" s="1349"/>
      <c r="L313" s="1349"/>
      <c r="M313" s="1349"/>
      <c r="N313" s="1349"/>
      <c r="O313" s="1349"/>
      <c r="P313" s="1349"/>
      <c r="Q313" s="1349"/>
      <c r="R313" s="1349"/>
      <c r="S313" s="3"/>
      <c r="T313" s="3" t="s">
        <v>75</v>
      </c>
      <c r="V313" s="3"/>
      <c r="W313" s="3"/>
      <c r="X313" s="3"/>
      <c r="Y313" s="3"/>
      <c r="AA313" s="1349" t="s">
        <v>2673</v>
      </c>
      <c r="AB313" s="1349"/>
      <c r="AC313" s="1349"/>
      <c r="AD313" s="1349"/>
      <c r="AE313" s="1349"/>
      <c r="AF313" s="1349"/>
      <c r="AG313" s="1349"/>
      <c r="AH313" s="1349"/>
      <c r="AI313" s="1349"/>
      <c r="AJ313" s="1349"/>
      <c r="AK313" s="1349"/>
    </row>
    <row r="314" spans="2:37" ht="12.95" customHeight="1">
      <c r="B314" s="3" t="s">
        <v>87</v>
      </c>
      <c r="C314" s="3"/>
      <c r="D314" s="3"/>
      <c r="E314" s="3"/>
      <c r="F314" s="3"/>
      <c r="H314" s="1349"/>
      <c r="I314" s="1349"/>
      <c r="J314" s="1349"/>
      <c r="K314" s="1349"/>
      <c r="L314" s="1349"/>
      <c r="M314" s="1349"/>
      <c r="N314" s="1349"/>
      <c r="O314" s="1349"/>
      <c r="P314" s="1349"/>
      <c r="Q314" s="1349"/>
      <c r="R314" s="1349"/>
      <c r="S314" s="3"/>
      <c r="T314" s="3" t="s">
        <v>87</v>
      </c>
      <c r="V314" s="3"/>
      <c r="W314" s="3"/>
      <c r="X314" s="3"/>
      <c r="Y314" s="3"/>
      <c r="AA314" s="1349" t="s">
        <v>2674</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4"/>
      <c r="I315" s="1424"/>
      <c r="J315" s="1424"/>
      <c r="K315" s="1424"/>
      <c r="L315" s="1424"/>
      <c r="M315" s="1424"/>
      <c r="N315" s="4" t="s">
        <v>206</v>
      </c>
      <c r="O315" s="4"/>
      <c r="P315" s="1418"/>
      <c r="Q315" s="1418"/>
      <c r="R315" s="1418"/>
      <c r="S315" s="3"/>
      <c r="T315" s="3" t="s">
        <v>88</v>
      </c>
      <c r="V315" s="3"/>
      <c r="W315" s="3"/>
      <c r="X315" s="3"/>
      <c r="Y315" s="3"/>
      <c r="AA315" s="1424" t="s">
        <v>2675</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t="s">
        <v>592</v>
      </c>
      <c r="AB316" s="1347"/>
      <c r="AC316" s="1347"/>
      <c r="AD316" s="1347"/>
      <c r="AE316" s="1347"/>
      <c r="AF316" s="1347"/>
      <c r="AG316" s="4"/>
      <c r="AH316" s="4"/>
      <c r="AI316" s="35"/>
      <c r="AJ316" s="35"/>
      <c r="AK316" s="35"/>
    </row>
    <row r="317" spans="2:37" ht="12.95" customHeight="1">
      <c r="B317" s="3" t="s">
        <v>76</v>
      </c>
      <c r="C317" s="3"/>
      <c r="D317" s="3"/>
      <c r="E317" s="3"/>
      <c r="F317" s="3"/>
      <c r="G317" s="3"/>
      <c r="H317" s="1349"/>
      <c r="I317" s="1349"/>
      <c r="J317" s="1349"/>
      <c r="K317" s="1349"/>
      <c r="L317" s="1349"/>
      <c r="M317" s="1349"/>
      <c r="N317" s="1372"/>
      <c r="O317" s="1372"/>
      <c r="P317" s="1372"/>
      <c r="Q317" s="1372"/>
      <c r="R317" s="1372"/>
      <c r="S317" s="3"/>
      <c r="T317" s="3" t="s">
        <v>76</v>
      </c>
      <c r="V317" s="3"/>
      <c r="W317" s="3"/>
      <c r="X317" s="3"/>
      <c r="Y317" s="3"/>
      <c r="AA317" s="1349" t="s">
        <v>2676</v>
      </c>
      <c r="AB317" s="1349"/>
      <c r="AC317" s="1349"/>
      <c r="AD317" s="1349"/>
      <c r="AE317" s="1349"/>
      <c r="AF317" s="1349"/>
      <c r="AG317" s="1372"/>
      <c r="AH317" s="1372"/>
      <c r="AI317" s="1372"/>
      <c r="AJ317" s="1372"/>
      <c r="AK317" s="1372"/>
    </row>
    <row r="318" spans="2:37" ht="12.95" customHeight="1"/>
    <row r="319" spans="2:37" ht="12.95" customHeight="1">
      <c r="B319" s="4" t="s">
        <v>909</v>
      </c>
      <c r="C319" s="3"/>
      <c r="D319" s="3"/>
      <c r="E319" s="3"/>
      <c r="F319" s="3"/>
      <c r="H319" s="1417" t="s">
        <v>2716</v>
      </c>
      <c r="I319" s="1372"/>
      <c r="J319" s="1372"/>
      <c r="K319" s="1372"/>
      <c r="L319" s="1372"/>
      <c r="M319" s="1372"/>
      <c r="N319" s="1372"/>
      <c r="O319" s="1372"/>
      <c r="P319" s="1372"/>
      <c r="Q319" s="1372"/>
      <c r="R319" s="1372"/>
      <c r="T319" s="3" t="s">
        <v>366</v>
      </c>
      <c r="V319" s="3"/>
      <c r="W319" s="3"/>
      <c r="X319" s="3"/>
      <c r="Y319" s="3"/>
      <c r="AA319" s="1372" t="s">
        <v>2677</v>
      </c>
      <c r="AB319" s="1372"/>
      <c r="AC319" s="1372"/>
      <c r="AD319" s="1372"/>
      <c r="AE319" s="1372"/>
      <c r="AF319" s="1372"/>
      <c r="AG319" s="1372"/>
      <c r="AH319" s="1372"/>
      <c r="AI319" s="1372"/>
      <c r="AJ319" s="1372"/>
      <c r="AK319" s="1372"/>
    </row>
    <row r="320" spans="2:37" ht="12.95" customHeight="1">
      <c r="B320" s="3" t="s">
        <v>472</v>
      </c>
      <c r="C320" s="3"/>
      <c r="D320" s="3"/>
      <c r="E320" s="3"/>
      <c r="F320" s="3"/>
      <c r="H320" s="1458" t="s">
        <v>2717</v>
      </c>
      <c r="I320" s="1349"/>
      <c r="J320" s="1349"/>
      <c r="K320" s="1349"/>
      <c r="L320" s="1349"/>
      <c r="M320" s="1349"/>
      <c r="N320" s="1349"/>
      <c r="O320" s="1349"/>
      <c r="P320" s="1349"/>
      <c r="Q320" s="1349"/>
      <c r="R320" s="1349"/>
      <c r="T320" s="3" t="s">
        <v>472</v>
      </c>
      <c r="V320" s="3"/>
      <c r="W320" s="3"/>
      <c r="X320" s="3"/>
      <c r="Y320" s="3"/>
      <c r="AA320" s="1349" t="s">
        <v>2678</v>
      </c>
      <c r="AB320" s="1349"/>
      <c r="AC320" s="1349"/>
      <c r="AD320" s="1349"/>
      <c r="AE320" s="1349"/>
      <c r="AF320" s="1349"/>
      <c r="AG320" s="1349"/>
      <c r="AH320" s="1349"/>
      <c r="AI320" s="1349"/>
      <c r="AJ320" s="1349"/>
      <c r="AK320" s="1349"/>
    </row>
    <row r="321" spans="2:37" ht="12.95" customHeight="1">
      <c r="B321" s="3" t="s">
        <v>473</v>
      </c>
      <c r="C321" s="3"/>
      <c r="D321" s="3"/>
      <c r="E321" s="3"/>
      <c r="F321" s="3"/>
      <c r="H321" s="1458" t="s">
        <v>2718</v>
      </c>
      <c r="I321" s="1349"/>
      <c r="J321" s="1349"/>
      <c r="K321" s="1349"/>
      <c r="L321" s="1349"/>
      <c r="M321" s="1349"/>
      <c r="N321" s="1349"/>
      <c r="O321" s="1349"/>
      <c r="P321" s="1349"/>
      <c r="Q321" s="1349"/>
      <c r="R321" s="1349"/>
      <c r="T321" s="3" t="s">
        <v>75</v>
      </c>
      <c r="V321" s="3"/>
      <c r="W321" s="3"/>
      <c r="X321" s="3"/>
      <c r="Y321" s="3"/>
      <c r="AA321" s="1349" t="s">
        <v>2679</v>
      </c>
      <c r="AB321" s="1349"/>
      <c r="AC321" s="1349"/>
      <c r="AD321" s="1349"/>
      <c r="AE321" s="1349"/>
      <c r="AF321" s="1349"/>
      <c r="AG321" s="1349"/>
      <c r="AH321" s="1349"/>
      <c r="AI321" s="1349"/>
      <c r="AJ321" s="1349"/>
      <c r="AK321" s="1349"/>
    </row>
    <row r="322" spans="2:37" ht="12.95" customHeight="1">
      <c r="B322" s="3" t="s">
        <v>87</v>
      </c>
      <c r="C322" s="3"/>
      <c r="D322" s="3"/>
      <c r="E322" s="3"/>
      <c r="F322" s="3"/>
      <c r="H322" s="1458" t="s">
        <v>2648</v>
      </c>
      <c r="I322" s="1349"/>
      <c r="J322" s="1349"/>
      <c r="K322" s="1349"/>
      <c r="L322" s="1349"/>
      <c r="M322" s="1349"/>
      <c r="N322" s="1349"/>
      <c r="O322" s="1349"/>
      <c r="P322" s="1349"/>
      <c r="Q322" s="1349"/>
      <c r="R322" s="1349"/>
      <c r="T322" s="3" t="s">
        <v>87</v>
      </c>
      <c r="V322" s="3"/>
      <c r="W322" s="3"/>
      <c r="X322" s="3"/>
      <c r="Y322" s="3"/>
      <c r="AA322" s="1349" t="s">
        <v>2680</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777" t="s">
        <v>2649</v>
      </c>
      <c r="I323" s="1424"/>
      <c r="J323" s="1424"/>
      <c r="K323" s="1424"/>
      <c r="L323" s="1424"/>
      <c r="M323" s="1424"/>
      <c r="N323" s="4" t="s">
        <v>206</v>
      </c>
      <c r="O323" s="4"/>
      <c r="P323" s="1418"/>
      <c r="Q323" s="1418"/>
      <c r="R323" s="1418"/>
      <c r="S323" s="3"/>
      <c r="T323" s="3" t="s">
        <v>88</v>
      </c>
      <c r="V323" s="3"/>
      <c r="W323" s="3"/>
      <c r="X323" s="3"/>
      <c r="Y323" s="3"/>
      <c r="AA323" s="1424" t="s">
        <v>2681</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6" t="s">
        <v>592</v>
      </c>
      <c r="I324" s="1347"/>
      <c r="J324" s="1347"/>
      <c r="K324" s="1347"/>
      <c r="L324" s="1347"/>
      <c r="M324" s="1347"/>
      <c r="N324" s="4"/>
      <c r="O324" s="4"/>
      <c r="P324" s="35"/>
      <c r="Q324" s="35"/>
      <c r="R324" s="35"/>
      <c r="S324" s="3"/>
      <c r="T324" s="3" t="s">
        <v>89</v>
      </c>
      <c r="V324" s="3"/>
      <c r="W324" s="3"/>
      <c r="X324" s="3"/>
      <c r="Y324" s="3"/>
      <c r="AA324" s="1347" t="s">
        <v>2682</v>
      </c>
      <c r="AB324" s="1347"/>
      <c r="AC324" s="1347"/>
      <c r="AD324" s="1347"/>
      <c r="AE324" s="1347"/>
      <c r="AF324" s="1347"/>
      <c r="AG324" s="4"/>
      <c r="AH324" s="4"/>
      <c r="AI324" s="35"/>
      <c r="AJ324" s="35"/>
      <c r="AK324" s="35"/>
    </row>
    <row r="325" spans="2:37" ht="12.95" customHeight="1">
      <c r="B325" s="3" t="s">
        <v>76</v>
      </c>
      <c r="C325" s="3"/>
      <c r="D325" s="3"/>
      <c r="E325" s="3"/>
      <c r="F325" s="3"/>
      <c r="G325" s="3"/>
      <c r="H325" s="1458" t="s">
        <v>2650</v>
      </c>
      <c r="I325" s="1349"/>
      <c r="J325" s="1349"/>
      <c r="K325" s="1349"/>
      <c r="L325" s="1349"/>
      <c r="M325" s="1349"/>
      <c r="N325" s="1372"/>
      <c r="O325" s="1372"/>
      <c r="P325" s="1372"/>
      <c r="Q325" s="1372"/>
      <c r="R325" s="1372"/>
      <c r="S325" s="3"/>
      <c r="T325" s="3" t="s">
        <v>76</v>
      </c>
      <c r="V325" s="3"/>
      <c r="W325" s="3"/>
      <c r="X325" s="3"/>
      <c r="Y325" s="3"/>
      <c r="AA325" s="1349" t="s">
        <v>2683</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2677</v>
      </c>
      <c r="I327" s="1372"/>
      <c r="J327" s="1372"/>
      <c r="K327" s="1372"/>
      <c r="L327" s="1372"/>
      <c r="M327" s="1372"/>
      <c r="N327" s="1372"/>
      <c r="O327" s="1372"/>
      <c r="P327" s="1372"/>
      <c r="Q327" s="1372"/>
      <c r="R327" s="1372"/>
      <c r="T327" s="3" t="s">
        <v>368</v>
      </c>
      <c r="V327" s="3"/>
      <c r="W327" s="3"/>
      <c r="X327" s="3"/>
      <c r="Y327" s="3"/>
      <c r="AA327" s="1417" t="s">
        <v>592</v>
      </c>
      <c r="AB327" s="1372"/>
      <c r="AC327" s="1372"/>
      <c r="AD327" s="1372"/>
      <c r="AE327" s="1372"/>
      <c r="AF327" s="1372"/>
      <c r="AG327" s="1372"/>
      <c r="AH327" s="1372"/>
      <c r="AI327" s="1372"/>
      <c r="AJ327" s="1372"/>
      <c r="AK327" s="1372"/>
    </row>
    <row r="328" spans="2:37" ht="12.95" customHeight="1">
      <c r="B328" s="3" t="s">
        <v>472</v>
      </c>
      <c r="C328" s="3"/>
      <c r="D328" s="3"/>
      <c r="E328" s="3"/>
      <c r="F328" s="3"/>
      <c r="H328" s="1349" t="s">
        <v>2678</v>
      </c>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2.95" customHeight="1">
      <c r="B329" s="3" t="s">
        <v>473</v>
      </c>
      <c r="C329" s="3"/>
      <c r="D329" s="3"/>
      <c r="E329" s="3"/>
      <c r="F329" s="3"/>
      <c r="H329" s="1349" t="s">
        <v>2679</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t="s">
        <v>2680</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4" t="s">
        <v>2681</v>
      </c>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7" t="s">
        <v>2682</v>
      </c>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2683</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2684</v>
      </c>
      <c r="I335" s="1372"/>
      <c r="J335" s="1372"/>
      <c r="K335" s="1372"/>
      <c r="L335" s="1372"/>
      <c r="M335" s="1372"/>
      <c r="N335" s="1372"/>
      <c r="O335" s="1372"/>
      <c r="P335" s="1372"/>
      <c r="Q335" s="1372"/>
      <c r="R335" s="1372"/>
      <c r="T335" s="204" t="s">
        <v>887</v>
      </c>
      <c r="V335" s="3"/>
      <c r="W335" s="3"/>
      <c r="X335" s="3"/>
      <c r="Y335" s="3"/>
      <c r="AA335" s="1417" t="s">
        <v>2693</v>
      </c>
      <c r="AB335" s="1372"/>
      <c r="AC335" s="1372"/>
      <c r="AD335" s="1372"/>
      <c r="AE335" s="1372"/>
      <c r="AF335" s="1372"/>
      <c r="AG335" s="1372"/>
      <c r="AH335" s="1372"/>
      <c r="AI335" s="1372"/>
      <c r="AJ335" s="1372"/>
      <c r="AK335" s="1372"/>
    </row>
    <row r="336" spans="2:37" ht="12.95" customHeight="1">
      <c r="B336" s="3" t="s">
        <v>472</v>
      </c>
      <c r="C336" s="3"/>
      <c r="D336" s="3"/>
      <c r="E336" s="3"/>
      <c r="F336" s="3"/>
      <c r="H336" s="1349" t="s">
        <v>2685</v>
      </c>
      <c r="I336" s="1349"/>
      <c r="J336" s="1349"/>
      <c r="K336" s="1349"/>
      <c r="L336" s="1349"/>
      <c r="M336" s="1349"/>
      <c r="N336" s="1349"/>
      <c r="O336" s="1349"/>
      <c r="P336" s="1349"/>
      <c r="Q336" s="1349"/>
      <c r="R336" s="1349"/>
      <c r="T336" s="3" t="s">
        <v>472</v>
      </c>
      <c r="V336" s="3"/>
      <c r="W336" s="3"/>
      <c r="X336" s="3"/>
      <c r="Y336" s="3"/>
      <c r="AA336" s="1349" t="s">
        <v>2690</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2686</v>
      </c>
      <c r="I337" s="1349"/>
      <c r="J337" s="1349"/>
      <c r="K337" s="1349"/>
      <c r="L337" s="1349"/>
      <c r="M337" s="1349"/>
      <c r="N337" s="1349"/>
      <c r="O337" s="1349"/>
      <c r="P337" s="1349"/>
      <c r="Q337" s="1349"/>
      <c r="R337" s="1349"/>
      <c r="T337" s="3" t="s">
        <v>75</v>
      </c>
      <c r="V337" s="3"/>
      <c r="W337" s="3"/>
      <c r="X337" s="3"/>
      <c r="Y337" s="3"/>
      <c r="AA337" s="1349" t="s">
        <v>2691</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2687</v>
      </c>
      <c r="I338" s="1349"/>
      <c r="J338" s="1349"/>
      <c r="K338" s="1349"/>
      <c r="L338" s="1349"/>
      <c r="M338" s="1349"/>
      <c r="N338" s="1349"/>
      <c r="O338" s="1349"/>
      <c r="P338" s="1349"/>
      <c r="Q338" s="1349"/>
      <c r="R338" s="1349"/>
      <c r="T338" s="3" t="s">
        <v>87</v>
      </c>
      <c r="V338" s="3"/>
      <c r="W338" s="3"/>
      <c r="X338" s="3"/>
      <c r="Y338" s="3"/>
      <c r="AA338" s="1349" t="s">
        <v>2692</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4" t="s">
        <v>2688</v>
      </c>
      <c r="I339" s="1424"/>
      <c r="J339" s="1424"/>
      <c r="K339" s="1424"/>
      <c r="L339" s="1424"/>
      <c r="M339" s="1424"/>
      <c r="N339" s="4" t="s">
        <v>206</v>
      </c>
      <c r="O339" s="4"/>
      <c r="P339" s="1418"/>
      <c r="Q339" s="1418"/>
      <c r="R339" s="1418"/>
      <c r="S339" s="3"/>
      <c r="T339" s="3" t="s">
        <v>88</v>
      </c>
      <c r="V339" s="3"/>
      <c r="W339" s="3"/>
      <c r="X339" s="3"/>
      <c r="Y339" s="3"/>
      <c r="AA339" s="1424" t="s">
        <v>2694</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7" t="s">
        <v>592</v>
      </c>
      <c r="I340" s="1347"/>
      <c r="J340" s="1347"/>
      <c r="K340" s="1347"/>
      <c r="L340" s="1347"/>
      <c r="M340" s="1347"/>
      <c r="N340" s="4"/>
      <c r="O340" s="4"/>
      <c r="P340" s="35"/>
      <c r="Q340" s="35"/>
      <c r="R340" s="35"/>
      <c r="S340" s="3"/>
      <c r="T340" s="3" t="s">
        <v>89</v>
      </c>
      <c r="V340" s="3"/>
      <c r="W340" s="3"/>
      <c r="X340" s="3"/>
      <c r="Y340" s="3"/>
      <c r="AA340" s="1347" t="s">
        <v>2695</v>
      </c>
      <c r="AB340" s="1347"/>
      <c r="AC340" s="1347"/>
      <c r="AD340" s="1347"/>
      <c r="AE340" s="1347"/>
      <c r="AF340" s="1347"/>
      <c r="AG340" s="4"/>
      <c r="AH340" s="4"/>
      <c r="AI340" s="35"/>
      <c r="AJ340" s="35"/>
      <c r="AK340" s="35"/>
    </row>
    <row r="341" spans="1:66" ht="12.95" customHeight="1">
      <c r="B341" s="3" t="s">
        <v>76</v>
      </c>
      <c r="C341" s="3"/>
      <c r="D341" s="3"/>
      <c r="E341" s="3"/>
      <c r="F341" s="3"/>
      <c r="G341" s="3"/>
      <c r="H341" s="1349" t="s">
        <v>2689</v>
      </c>
      <c r="I341" s="1349"/>
      <c r="J341" s="1349"/>
      <c r="K341" s="1349"/>
      <c r="L341" s="1349"/>
      <c r="M341" s="1349"/>
      <c r="N341" s="1372"/>
      <c r="O341" s="1372"/>
      <c r="P341" s="1372"/>
      <c r="Q341" s="1372"/>
      <c r="R341" s="1372"/>
      <c r="S341" s="3"/>
      <c r="T341" s="3" t="s">
        <v>76</v>
      </c>
      <c r="V341" s="3"/>
      <c r="W341" s="3"/>
      <c r="X341" s="3"/>
      <c r="Y341" s="3"/>
      <c r="AA341" s="1349" t="s">
        <v>2696</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888</v>
      </c>
      <c r="P343" s="1417" t="s">
        <v>592</v>
      </c>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2099</v>
      </c>
      <c r="M355" s="1332" t="s">
        <v>546</v>
      </c>
      <c r="N355" s="1332"/>
      <c r="P355" t="s">
        <v>1651</v>
      </c>
      <c r="AJ355" s="1332" t="s">
        <v>592</v>
      </c>
      <c r="AK355" s="1332"/>
    </row>
    <row r="356" spans="1:46" ht="12.95" customHeight="1">
      <c r="D356" s="3" t="s">
        <v>1640</v>
      </c>
      <c r="M356" s="1332" t="s">
        <v>592</v>
      </c>
      <c r="N356" s="1332"/>
      <c r="P356" s="3" t="s">
        <v>1720</v>
      </c>
      <c r="AJ356" s="1447"/>
      <c r="AK356" s="1447"/>
    </row>
    <row r="357" spans="1:46" ht="12.95" customHeight="1">
      <c r="D357" s="3" t="s">
        <v>705</v>
      </c>
      <c r="M357" s="1332" t="s">
        <v>592</v>
      </c>
      <c r="N357" s="1332"/>
      <c r="P357" t="s">
        <v>1650</v>
      </c>
      <c r="AJ357" s="1332" t="s">
        <v>592</v>
      </c>
      <c r="AK357" s="1332"/>
    </row>
    <row r="358" spans="1:46" ht="12.95" customHeight="1">
      <c r="D358" s="3" t="s">
        <v>706</v>
      </c>
      <c r="M358" s="1332" t="s">
        <v>592</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979</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2.95" customHeight="1">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7"/>
      <c r="O373" s="1817"/>
      <c r="P373" s="1817"/>
      <c r="Q373" s="1817"/>
      <c r="R373" s="1817"/>
      <c r="S373" s="1817"/>
      <c r="T373" s="1817"/>
      <c r="U373" s="1817"/>
      <c r="V373" s="1817"/>
      <c r="W373" s="1817"/>
      <c r="X373" s="1817"/>
      <c r="Y373" s="1817"/>
      <c r="Z373" s="1817"/>
      <c r="AA373" s="1817"/>
      <c r="AB373" s="1817"/>
      <c r="AC373" s="1817"/>
      <c r="AD373" s="1817"/>
      <c r="AE373" s="1817"/>
      <c r="AF373" s="1817"/>
    </row>
    <row r="374" spans="1:34" ht="12.95" customHeight="1">
      <c r="E374" s="4"/>
      <c r="F374" s="4"/>
      <c r="G374" s="4"/>
      <c r="H374" s="4"/>
      <c r="I374" s="4"/>
      <c r="J374" s="4"/>
      <c r="K374" s="4"/>
      <c r="L374" s="4"/>
      <c r="N374" s="1818"/>
      <c r="O374" s="1818"/>
      <c r="P374" s="1818"/>
      <c r="Q374" s="1818"/>
      <c r="R374" s="1818"/>
      <c r="S374" s="1818"/>
      <c r="T374" s="1818"/>
      <c r="U374" s="1818"/>
      <c r="V374" s="1818"/>
      <c r="W374" s="1818"/>
      <c r="X374" s="1818"/>
      <c r="Y374" s="1818"/>
      <c r="Z374" s="1818"/>
      <c r="AA374" s="1818"/>
      <c r="AB374" s="1818"/>
      <c r="AC374" s="1818"/>
      <c r="AD374" s="1818"/>
      <c r="AE374" s="1818"/>
      <c r="AF374" s="1818"/>
    </row>
    <row r="375" spans="1:34" ht="12.95" customHeight="1">
      <c r="C375" s="512"/>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2085</v>
      </c>
      <c r="F377" s="4"/>
      <c r="G377" s="4"/>
      <c r="H377" s="4"/>
      <c r="I377" s="4"/>
      <c r="J377" s="4"/>
      <c r="K377" s="4"/>
      <c r="L377" s="4"/>
      <c r="N377" t="s">
        <v>2080</v>
      </c>
      <c r="R377" s="27" t="s">
        <v>305</v>
      </c>
      <c r="S377" s="1819"/>
      <c r="T377" s="1819"/>
      <c r="U377" s="1" t="s">
        <v>306</v>
      </c>
      <c r="V377" s="1819"/>
      <c r="W377" s="1819"/>
      <c r="Y377" t="s">
        <v>2080</v>
      </c>
      <c r="AC377" s="27" t="s">
        <v>305</v>
      </c>
      <c r="AD377" s="1819"/>
      <c r="AE377" s="1819"/>
      <c r="AF377" s="1" t="s">
        <v>306</v>
      </c>
      <c r="AG377" s="1819"/>
      <c r="AH377" s="1819"/>
    </row>
    <row r="378" spans="1:34" ht="12.95" customHeight="1">
      <c r="E378" s="4" t="s">
        <v>988</v>
      </c>
      <c r="F378" s="4"/>
      <c r="G378" s="4"/>
      <c r="H378" s="4"/>
      <c r="I378" s="4"/>
      <c r="J378" s="4"/>
      <c r="K378" s="4"/>
      <c r="L378" s="4"/>
      <c r="N378" s="1819"/>
      <c r="O378" s="1819"/>
      <c r="P378" s="1819"/>
    </row>
    <row r="379" spans="1:34" ht="12.95" customHeight="1">
      <c r="E379" s="204" t="s">
        <v>2086</v>
      </c>
      <c r="F379" s="4"/>
      <c r="G379" s="4"/>
      <c r="H379" s="4"/>
      <c r="I379" s="4"/>
      <c r="J379" s="4"/>
      <c r="K379" s="4"/>
      <c r="L379" s="4"/>
      <c r="AG379" s="1808" t="s">
        <v>592</v>
      </c>
      <c r="AH379" s="1808"/>
    </row>
    <row r="380" spans="1:34" ht="12.95" customHeight="1">
      <c r="E380" s="4"/>
      <c r="F380" s="4"/>
      <c r="G380" s="4" t="s">
        <v>2087</v>
      </c>
      <c r="H380" s="4"/>
      <c r="I380" s="4"/>
      <c r="J380" s="4"/>
      <c r="K380" s="4"/>
      <c r="L380" s="4"/>
      <c r="AG380" s="1808" t="s">
        <v>592</v>
      </c>
      <c r="AH380" s="1808"/>
    </row>
    <row r="381" spans="1:34" ht="12.95" customHeight="1">
      <c r="E381" s="4"/>
      <c r="F381" s="4"/>
      <c r="G381" s="320" t="s">
        <v>989</v>
      </c>
      <c r="H381" s="4"/>
      <c r="I381" s="4"/>
      <c r="J381" s="4"/>
      <c r="K381" s="4"/>
      <c r="L381" s="4"/>
      <c r="V381" s="1332" t="s">
        <v>592</v>
      </c>
      <c r="W381" s="1332"/>
      <c r="Y381" s="22" t="s">
        <v>981</v>
      </c>
    </row>
    <row r="382" spans="1:34" ht="12.95" customHeight="1">
      <c r="E382" s="4" t="s">
        <v>982</v>
      </c>
      <c r="F382" s="4"/>
      <c r="G382" s="4"/>
      <c r="H382" s="4"/>
      <c r="I382" s="4"/>
      <c r="J382" s="4"/>
      <c r="K382" s="4"/>
      <c r="L382" s="4"/>
      <c r="V382" s="1332" t="s">
        <v>592</v>
      </c>
      <c r="W382" s="1332"/>
      <c r="Y382" s="4" t="s">
        <v>983</v>
      </c>
    </row>
    <row r="383" spans="1:34" ht="12.95" customHeight="1"/>
    <row r="384" spans="1:34" ht="12.95" customHeight="1">
      <c r="A384" s="2" t="s">
        <v>78</v>
      </c>
      <c r="B384" s="2"/>
    </row>
    <row r="385" spans="4:36" ht="12.95" customHeight="1">
      <c r="D385" t="s">
        <v>428</v>
      </c>
      <c r="J385" s="1372"/>
      <c r="K385" s="1372"/>
      <c r="L385" s="1372"/>
      <c r="M385" s="1372"/>
      <c r="N385" s="1372"/>
      <c r="O385" s="1372"/>
      <c r="P385" s="1372"/>
      <c r="Q385" s="1372"/>
      <c r="R385" s="1372"/>
      <c r="S385" s="1372"/>
      <c r="T385" s="1372"/>
      <c r="U385" s="1372"/>
      <c r="V385" s="8" t="s">
        <v>83</v>
      </c>
      <c r="W385" s="8"/>
      <c r="X385" s="8"/>
      <c r="Y385" s="8"/>
      <c r="Z385" s="8"/>
      <c r="AA385" s="8"/>
      <c r="AB385" s="8"/>
      <c r="AC385" s="1372"/>
      <c r="AD385" s="1372"/>
      <c r="AE385" s="1372"/>
      <c r="AF385" s="1372"/>
      <c r="AG385" s="1372"/>
      <c r="AH385" s="1372"/>
      <c r="AI385" s="1372"/>
      <c r="AJ385" s="1372"/>
    </row>
    <row r="386" spans="4:36" ht="12.95" customHeight="1">
      <c r="D386" s="3" t="s">
        <v>1183</v>
      </c>
      <c r="J386" s="1349"/>
      <c r="K386" s="1349"/>
      <c r="L386" s="1349"/>
      <c r="M386" s="1349"/>
      <c r="N386" s="1349"/>
      <c r="O386" s="1349"/>
      <c r="P386" s="1349"/>
      <c r="Q386" s="1349"/>
      <c r="R386" s="1349"/>
      <c r="S386" s="1349"/>
      <c r="T386" s="1349"/>
      <c r="U386" s="1349"/>
      <c r="V386" s="3" t="s">
        <v>1183</v>
      </c>
      <c r="W386" s="8"/>
      <c r="X386" s="8"/>
      <c r="Y386" s="8"/>
      <c r="Z386" s="8"/>
      <c r="AA386" s="8"/>
      <c r="AB386" s="8"/>
      <c r="AC386" s="1372"/>
      <c r="AD386" s="1372"/>
      <c r="AE386" s="1372"/>
      <c r="AF386" s="1372"/>
      <c r="AG386" s="1372"/>
      <c r="AH386" s="1372"/>
      <c r="AI386" s="1372"/>
      <c r="AJ386" s="1372"/>
    </row>
    <row r="387" spans="4:36" ht="12.95" customHeight="1">
      <c r="D387" s="3" t="s">
        <v>442</v>
      </c>
      <c r="J387" s="1349"/>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5" customHeight="1">
      <c r="D388" t="s">
        <v>1179</v>
      </c>
      <c r="J388" s="1403"/>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3"/>
      <c r="R389" s="1753"/>
      <c r="S389" s="1753"/>
      <c r="T389" s="1753"/>
      <c r="U389" s="1753"/>
      <c r="V389" t="s">
        <v>309</v>
      </c>
      <c r="AI389" s="1332" t="s">
        <v>670</v>
      </c>
      <c r="AJ389" s="1332"/>
    </row>
    <row r="390" spans="4:36" ht="12.95" customHeight="1">
      <c r="D390" t="s">
        <v>5</v>
      </c>
      <c r="Q390" s="1535"/>
      <c r="R390" s="1824"/>
      <c r="S390" s="1824"/>
      <c r="T390" s="1824"/>
      <c r="U390" s="1824"/>
      <c r="W390" s="21" t="s">
        <v>74</v>
      </c>
      <c r="AG390" s="1822"/>
      <c r="AH390" s="1822"/>
      <c r="AI390" s="1822"/>
      <c r="AJ390" s="1822"/>
    </row>
    <row r="391" spans="4:36" ht="12.95" customHeight="1">
      <c r="D391" t="s">
        <v>427</v>
      </c>
      <c r="Q391" s="1833"/>
      <c r="R391" s="1833"/>
      <c r="S391" s="1833"/>
      <c r="T391" s="1833"/>
      <c r="U391" s="1833"/>
      <c r="V391" s="3" t="s">
        <v>1182</v>
      </c>
      <c r="AG391" s="1823"/>
      <c r="AH391" s="1823"/>
      <c r="AI391" s="1823"/>
      <c r="AJ391" s="1823"/>
    </row>
    <row r="392" spans="4:36" ht="12.95" customHeight="1">
      <c r="D392" t="s">
        <v>88</v>
      </c>
      <c r="I392" s="1424"/>
      <c r="J392" s="1424"/>
      <c r="K392" s="1424"/>
      <c r="L392" s="1424"/>
      <c r="M392" s="1424"/>
      <c r="N392" s="1424"/>
      <c r="Q392" s="4" t="s">
        <v>206</v>
      </c>
      <c r="S392" s="1832"/>
      <c r="T392" s="1832"/>
      <c r="U392" s="1832"/>
      <c r="V392" t="s">
        <v>73</v>
      </c>
      <c r="AI392" s="1332" t="s">
        <v>670</v>
      </c>
      <c r="AJ392" s="1332"/>
    </row>
    <row r="393" spans="4:36" ht="12.95" customHeight="1">
      <c r="D393" t="s">
        <v>310</v>
      </c>
      <c r="Q393" s="1409"/>
      <c r="R393" s="1409"/>
      <c r="S393" s="1409"/>
      <c r="T393" s="1409"/>
      <c r="U393" s="1409"/>
      <c r="V393" t="s">
        <v>311</v>
      </c>
      <c r="AG393" s="1822"/>
      <c r="AH393" s="1822"/>
      <c r="AI393" s="1822"/>
      <c r="AJ393" s="1822"/>
    </row>
    <row r="394" spans="4:36" ht="12.95" customHeight="1">
      <c r="D394" t="s">
        <v>312</v>
      </c>
      <c r="Q394" s="1757"/>
      <c r="R394" s="1757"/>
      <c r="S394" s="1757"/>
      <c r="T394" s="1757"/>
      <c r="U394" s="1757"/>
      <c r="V394" t="s">
        <v>1164</v>
      </c>
      <c r="AG394" s="1822"/>
      <c r="AH394" s="1822"/>
      <c r="AI394" s="1822"/>
      <c r="AJ394" s="1822"/>
    </row>
    <row r="395" spans="4:36" ht="12.95" customHeight="1">
      <c r="D395" t="s">
        <v>1163</v>
      </c>
      <c r="AG395" s="1822"/>
      <c r="AH395" s="1822"/>
      <c r="AI395" s="1822"/>
      <c r="AJ395" s="1822"/>
    </row>
    <row r="396" spans="4:36" ht="12.95" customHeight="1">
      <c r="AG396" s="456"/>
      <c r="AH396" s="456"/>
      <c r="AI396" s="456"/>
      <c r="AJ396" s="456"/>
    </row>
    <row r="397" spans="4:36" ht="12.95" customHeight="1">
      <c r="D397" s="3" t="s">
        <v>2143</v>
      </c>
      <c r="AG397" s="456"/>
      <c r="AH397" s="456"/>
      <c r="AI397" s="1332" t="s">
        <v>670</v>
      </c>
      <c r="AJ397" s="1332"/>
    </row>
    <row r="398" spans="4:36" ht="12.95" customHeight="1">
      <c r="D398" s="3" t="s">
        <v>1668</v>
      </c>
      <c r="T398" s="1752"/>
      <c r="U398" s="1752"/>
      <c r="V398" s="1752"/>
      <c r="W398" s="1752"/>
      <c r="X398" s="1752"/>
      <c r="Y398" s="1752"/>
      <c r="Z398" s="1752"/>
      <c r="AA398" s="1752"/>
      <c r="AB398" s="1752"/>
      <c r="AC398" s="1752"/>
      <c r="AD398" s="1752"/>
      <c r="AE398" s="1752"/>
      <c r="AF398" s="1752"/>
      <c r="AG398" s="1752"/>
      <c r="AH398" s="1752"/>
      <c r="AI398" s="1752"/>
      <c r="AJ398" s="1752"/>
    </row>
    <row r="399" spans="4:36" ht="12.95" customHeight="1">
      <c r="D399" s="3" t="s">
        <v>1667</v>
      </c>
      <c r="T399" s="1752"/>
      <c r="U399" s="1752"/>
      <c r="V399" s="1752"/>
      <c r="W399" s="1752"/>
      <c r="X399" s="1752"/>
      <c r="Y399" s="1752"/>
      <c r="Z399" s="1752"/>
      <c r="AA399" s="1752"/>
      <c r="AB399" s="1752"/>
      <c r="AC399" s="1752"/>
      <c r="AD399" s="1752"/>
      <c r="AE399" s="1752"/>
      <c r="AF399" s="1752"/>
      <c r="AG399" s="1752"/>
      <c r="AH399" s="1752"/>
      <c r="AI399" s="1752"/>
      <c r="AJ399" s="1752"/>
    </row>
    <row r="400" spans="4:36" ht="12.95" customHeight="1">
      <c r="AG400" s="456"/>
      <c r="AH400" s="456"/>
      <c r="AI400" s="456"/>
      <c r="AJ400" s="456"/>
    </row>
    <row r="401" spans="1:36" ht="12.95" customHeight="1">
      <c r="D401" s="3" t="s">
        <v>1661</v>
      </c>
      <c r="S401" s="1752" t="s">
        <v>546</v>
      </c>
      <c r="T401" s="1752"/>
      <c r="U401" s="1752"/>
      <c r="V401" t="s">
        <v>1662</v>
      </c>
      <c r="AG401" s="1826">
        <v>99</v>
      </c>
      <c r="AH401" s="1826"/>
      <c r="AI401" s="1826"/>
      <c r="AJ401" s="1826"/>
    </row>
    <row r="402" spans="1:36" ht="12.95" customHeight="1">
      <c r="D402" s="3" t="s">
        <v>1659</v>
      </c>
      <c r="S402" s="1752" t="s">
        <v>546</v>
      </c>
      <c r="T402" s="1752"/>
      <c r="U402" s="1752"/>
      <c r="V402" t="s">
        <v>1664</v>
      </c>
      <c r="AE402" s="1820" t="s">
        <v>2653</v>
      </c>
      <c r="AF402" s="1821"/>
      <c r="AG402" s="1821"/>
      <c r="AH402" s="1821"/>
      <c r="AI402" s="1821"/>
      <c r="AJ402" s="1821"/>
    </row>
    <row r="403" spans="1:36" ht="12.95" customHeight="1">
      <c r="D403" s="3" t="s">
        <v>1660</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1663</v>
      </c>
      <c r="K404" s="1800" t="s">
        <v>2719</v>
      </c>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1666</v>
      </c>
      <c r="E405" s="477"/>
      <c r="F405" s="477"/>
      <c r="G405" s="477"/>
      <c r="H405" s="477"/>
      <c r="I405" s="477"/>
      <c r="J405" s="477"/>
      <c r="K405" s="477"/>
      <c r="L405" s="477"/>
      <c r="M405" s="477"/>
      <c r="N405" s="477"/>
      <c r="O405" s="477"/>
      <c r="P405" s="477"/>
      <c r="Q405" s="477"/>
      <c r="R405" s="477"/>
      <c r="S405" s="1831" t="s">
        <v>2618</v>
      </c>
      <c r="T405" s="1831"/>
      <c r="U405" s="1831"/>
      <c r="V405" s="1831"/>
      <c r="W405" s="1831"/>
      <c r="X405" s="1831"/>
      <c r="Y405" s="1831"/>
      <c r="Z405" s="1831"/>
      <c r="AA405" s="1831"/>
      <c r="AB405" s="1831"/>
      <c r="AC405" s="1831"/>
      <c r="AD405" s="1831"/>
      <c r="AE405" s="1831"/>
      <c r="AF405" s="1831"/>
      <c r="AG405" s="1831"/>
      <c r="AH405" s="1831"/>
      <c r="AI405" s="1831"/>
      <c r="AJ405" s="1831"/>
    </row>
    <row r="406" spans="1:36" ht="12.95" customHeight="1">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1205</v>
      </c>
      <c r="I410" s="1417" t="s">
        <v>2619</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592</v>
      </c>
      <c r="S411" s="1332"/>
      <c r="AC411" s="27" t="s">
        <v>571</v>
      </c>
      <c r="AD411" s="1663"/>
      <c r="AE411" s="1663"/>
    </row>
    <row r="412" spans="1:36" ht="12.95" customHeight="1">
      <c r="E412" t="s">
        <v>107</v>
      </c>
      <c r="R412" s="1332" t="s">
        <v>592</v>
      </c>
      <c r="S412" s="1332"/>
      <c r="AC412" s="27" t="s">
        <v>571</v>
      </c>
      <c r="AD412" s="1663"/>
      <c r="AE412" s="1663"/>
    </row>
    <row r="413" spans="1:36" ht="12.95" customHeight="1">
      <c r="E413" t="s">
        <v>108</v>
      </c>
      <c r="S413" s="1332" t="s">
        <v>592</v>
      </c>
      <c r="T413" s="1332"/>
    </row>
    <row r="414" spans="1:36" ht="12.95" customHeight="1">
      <c r="E414" t="s">
        <v>170</v>
      </c>
      <c r="H414" s="1758" t="s">
        <v>334</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2.9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2.95" customHeight="1"/>
    <row r="417" spans="1:39" ht="12.95" customHeight="1">
      <c r="A417" s="2" t="s">
        <v>591</v>
      </c>
      <c r="B417" s="2"/>
      <c r="C417" s="2"/>
      <c r="D417" s="2" t="s">
        <v>114</v>
      </c>
      <c r="AF417" s="2" t="s">
        <v>958</v>
      </c>
    </row>
    <row r="418" spans="1:39" ht="12.95" customHeight="1">
      <c r="E418" s="1819"/>
      <c r="F418" s="1819"/>
      <c r="G418" s="1819"/>
      <c r="H418" s="13" t="s">
        <v>115</v>
      </c>
      <c r="I418" s="1819"/>
      <c r="J418" s="1819"/>
      <c r="K418" s="1819"/>
      <c r="L418" t="s">
        <v>116</v>
      </c>
      <c r="N418" s="27" t="s">
        <v>576</v>
      </c>
      <c r="P418" s="1761">
        <v>3.84</v>
      </c>
      <c r="Q418" s="1761"/>
      <c r="R418" s="1761"/>
      <c r="S418" t="s">
        <v>117</v>
      </c>
      <c r="W418" s="1830">
        <f>IF(E418&gt;0,(E418*I418),(P418*43560))</f>
        <v>167270.39999999999</v>
      </c>
      <c r="X418" s="1830"/>
      <c r="Y418" s="1830"/>
      <c r="Z418" t="s">
        <v>118</v>
      </c>
      <c r="AF418" s="1762">
        <f>IFERROR(IF(P418&gt;0,(AG437/P418),(AG437/(W418/43560))),0)</f>
        <v>8.59375</v>
      </c>
      <c r="AG418" s="1762"/>
      <c r="AH418" s="1762"/>
      <c r="AM418" s="3"/>
    </row>
    <row r="419" spans="1:39" ht="12.95" customHeight="1">
      <c r="E419" t="s">
        <v>51</v>
      </c>
    </row>
    <row r="420" spans="1:39" ht="12.95"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5" customHeight="1">
      <c r="E421" s="118" t="s">
        <v>1737</v>
      </c>
      <c r="F421" s="1013"/>
      <c r="G421" s="1013"/>
      <c r="H421" s="1013"/>
      <c r="I421" s="1760">
        <v>2.1850000000000001</v>
      </c>
      <c r="J421" s="1760"/>
      <c r="K421" s="1760"/>
      <c r="L421" s="1013"/>
      <c r="M421" s="118"/>
      <c r="N421" s="1013"/>
      <c r="O421" s="1013"/>
      <c r="P421" s="1441">
        <f>(DU755+DU778+DU800)/I421</f>
        <v>45.308924485125857</v>
      </c>
      <c r="Q421" s="1441"/>
      <c r="R421" s="1441"/>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593</v>
      </c>
      <c r="B423" s="2"/>
      <c r="C423" s="2"/>
      <c r="D423" s="2" t="s">
        <v>120</v>
      </c>
    </row>
    <row r="424" spans="1:39" ht="12.95" customHeight="1">
      <c r="E424" t="s">
        <v>121</v>
      </c>
      <c r="P424" s="1332">
        <v>33</v>
      </c>
      <c r="Q424" s="1332"/>
      <c r="S424" t="s">
        <v>189</v>
      </c>
      <c r="AE424" s="1332">
        <v>33</v>
      </c>
      <c r="AF424" s="1332"/>
    </row>
    <row r="425" spans="1:39" ht="12.95" customHeight="1">
      <c r="E425" t="s">
        <v>190</v>
      </c>
      <c r="P425" s="1332">
        <v>0</v>
      </c>
      <c r="Q425" s="1332"/>
      <c r="S425" t="s">
        <v>131</v>
      </c>
      <c r="AE425" s="1332" t="s">
        <v>592</v>
      </c>
      <c r="AF425" s="1332"/>
    </row>
    <row r="426" spans="1:39" ht="12.95" customHeight="1">
      <c r="F426" s="28" t="s">
        <v>132</v>
      </c>
    </row>
    <row r="427" spans="1:39" ht="12.95" customHeight="1">
      <c r="F427" s="1806" t="s">
        <v>2720</v>
      </c>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2.95" customHeight="1">
      <c r="E429" t="s">
        <v>609</v>
      </c>
      <c r="P429" s="1"/>
      <c r="Q429" s="1332" t="s">
        <v>546</v>
      </c>
      <c r="R429" s="1332"/>
    </row>
    <row r="430" spans="1:39" ht="12.95" customHeight="1">
      <c r="F430" t="s">
        <v>610</v>
      </c>
      <c r="P430" s="1"/>
      <c r="Q430" s="1"/>
      <c r="AF430" s="1332" t="s">
        <v>592</v>
      </c>
      <c r="AG430" s="1828"/>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3"/>
      <c r="AG437" s="1825">
        <v>33</v>
      </c>
      <c r="AH437" s="1825"/>
      <c r="AI437" s="1825"/>
      <c r="AJ437" s="1825"/>
    </row>
    <row r="438" spans="1:55" ht="12.95" customHeight="1">
      <c r="D438" s="1744" t="s">
        <v>1223</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9">
        <v>0</v>
      </c>
      <c r="AH438" s="1613"/>
      <c r="AI438" s="1613"/>
      <c r="AJ438" s="1613"/>
    </row>
    <row r="439" spans="1:55" ht="12.95" customHeight="1">
      <c r="D439" s="1744" t="s">
        <v>1032</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5">
        <v>32</v>
      </c>
      <c r="AH439" s="1825"/>
      <c r="AI439" s="1825"/>
      <c r="AJ439" s="1825"/>
    </row>
    <row r="440" spans="1:55" ht="12.95" customHeight="1">
      <c r="D440" s="1744" t="s">
        <v>1033</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5">
        <v>32</v>
      </c>
      <c r="AH440" s="1825"/>
      <c r="AI440" s="1825"/>
      <c r="AJ440" s="1825"/>
    </row>
    <row r="441" spans="1:55" ht="12.95" customHeight="1">
      <c r="D441" s="1744" t="s">
        <v>1035</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10">
        <f>IF(ISERROR(AG440/AG439),0,AG440/AG439)</f>
        <v>1</v>
      </c>
      <c r="AH441" s="1810"/>
      <c r="AI441" s="1810"/>
      <c r="AJ441" s="1810"/>
    </row>
    <row r="442" spans="1:55" ht="12.95" customHeight="1">
      <c r="D442" s="1744" t="s">
        <v>1034</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5">
        <f>1120*32</f>
        <v>35840</v>
      </c>
      <c r="AH442" s="1695"/>
      <c r="AI442" s="1695"/>
      <c r="AJ442" s="1695"/>
    </row>
    <row r="443" spans="1:55" ht="12.95" customHeight="1">
      <c r="D443" s="1744" t="s">
        <v>1036</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5">
        <f>+AG442</f>
        <v>35840</v>
      </c>
      <c r="AH443" s="1695"/>
      <c r="AI443" s="1695"/>
      <c r="AJ443" s="1695"/>
    </row>
    <row r="444" spans="1:55" ht="12.95" customHeight="1">
      <c r="D444" s="1744" t="s">
        <v>1037</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10">
        <f>IF(ISERROR(AG443/AG442),0,AG443/AG442)</f>
        <v>1</v>
      </c>
      <c r="AH444" s="1810"/>
      <c r="AI444" s="1810"/>
      <c r="AJ444" s="1810"/>
    </row>
    <row r="445" spans="1:55" ht="12.95" customHeight="1">
      <c r="D445" s="1744" t="s">
        <v>1038</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10">
        <f>MIN(IF(AG441&gt;AG444,AG444,AG441),1)</f>
        <v>1</v>
      </c>
      <c r="AH445" s="1810"/>
      <c r="AI445" s="1810"/>
      <c r="AJ445" s="1810"/>
    </row>
    <row r="446" spans="1:55" ht="12.95" customHeight="1">
      <c r="D446" s="1744"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3"/>
      <c r="AG446" s="1695">
        <v>0</v>
      </c>
      <c r="AH446" s="1695"/>
      <c r="AI446" s="1695"/>
      <c r="AJ446" s="1695"/>
      <c r="AZ446" s="34"/>
      <c r="BA446" s="34"/>
      <c r="BB446" s="34"/>
      <c r="BC446" s="34"/>
    </row>
    <row r="447" spans="1:55" ht="12.95" customHeight="1">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3"/>
      <c r="AG447" s="1695">
        <v>0</v>
      </c>
      <c r="AH447" s="1695"/>
      <c r="AI447" s="1695"/>
      <c r="AJ447" s="1695"/>
      <c r="AZ447" s="3"/>
      <c r="BA447" s="3"/>
      <c r="BB447" s="3"/>
      <c r="BC447" s="3"/>
    </row>
    <row r="448" spans="1:55" ht="12.95" customHeight="1">
      <c r="D448" s="1744"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3"/>
      <c r="AG448" s="1695">
        <v>1120</v>
      </c>
      <c r="AH448" s="1695"/>
      <c r="AI448" s="1695"/>
      <c r="AJ448" s="1695"/>
      <c r="AZ448" s="3"/>
      <c r="BA448" s="3"/>
      <c r="BB448" s="3"/>
      <c r="BC448" s="3"/>
    </row>
    <row r="449" spans="1:55" ht="12.95" customHeight="1">
      <c r="D449" s="1744"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3"/>
      <c r="AG449" s="1695">
        <v>0</v>
      </c>
      <c r="AH449" s="1695"/>
      <c r="AI449" s="1695"/>
      <c r="AJ449" s="1695"/>
      <c r="BB449" s="3"/>
      <c r="BC449" s="3"/>
    </row>
    <row r="450" spans="1:55" ht="12.95" customHeight="1">
      <c r="D450" s="1768" t="s">
        <v>1040</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9">
        <f>AG442+AG446+AG448+AG449</f>
        <v>36960</v>
      </c>
      <c r="AH450" s="1849"/>
      <c r="AI450" s="1849"/>
      <c r="AJ450" s="1849"/>
      <c r="AZ450" s="3"/>
      <c r="BA450" s="3"/>
      <c r="BB450" s="3"/>
      <c r="BC450" s="3"/>
    </row>
    <row r="451" spans="1:55" ht="12.95" customHeight="1">
      <c r="D451" s="1747" t="s">
        <v>1207</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2.9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6">
        <f>IF(AG437=0,"",'Sources and Uses Budget'!B105/Application!AG437)</f>
        <v>802551.21212121216</v>
      </c>
      <c r="AD454" s="1816"/>
      <c r="AE454" s="1816"/>
      <c r="AF454" s="1816"/>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6">
        <f>IF(AG437=0,"",'Sources and Uses Budget'!C105/Application!AG437)</f>
        <v>802551.21212121216</v>
      </c>
      <c r="AD455" s="1816"/>
      <c r="AE455" s="1816"/>
      <c r="AF455" s="1816"/>
      <c r="AG455" s="177"/>
      <c r="AH455" s="177"/>
      <c r="AI455" s="177"/>
      <c r="AJ455" s="183"/>
      <c r="AZ455" s="3"/>
      <c r="BA455" s="3"/>
      <c r="BB455" s="3"/>
      <c r="BC455" s="3"/>
    </row>
    <row r="456" spans="1:55" ht="12.9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6">
        <f>IF(AG437=0,"",('Sources and Uses Budget'!$S$107+'Sources and Uses Budget'!$T$107)/Application!AG437)</f>
        <v>758054.54545454541</v>
      </c>
      <c r="AD456" s="1816"/>
      <c r="AE456" s="1816"/>
      <c r="AF456" s="1816"/>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5">
        <v>0</v>
      </c>
      <c r="X469" s="1666"/>
      <c r="Y469" s="1667"/>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5">
        <v>32</v>
      </c>
      <c r="X470" s="1666"/>
      <c r="Y470" s="1667"/>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4" t="s">
        <v>1013</v>
      </c>
      <c r="E471" s="1755"/>
      <c r="F471" s="1755"/>
      <c r="G471" s="1755"/>
      <c r="H471" s="1755"/>
      <c r="I471" s="1755"/>
      <c r="J471" s="1755"/>
      <c r="K471" s="1755"/>
      <c r="L471" s="1755"/>
      <c r="M471" s="1755"/>
      <c r="N471" s="1755"/>
      <c r="O471" s="1755"/>
      <c r="P471" s="1755"/>
      <c r="Q471" s="1755"/>
      <c r="R471" s="1755"/>
      <c r="S471" s="1755"/>
      <c r="T471" s="1755"/>
      <c r="U471" s="1755"/>
      <c r="V471" s="1756"/>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4" t="s">
        <v>2191</v>
      </c>
      <c r="E472" s="1853"/>
      <c r="F472" s="1853"/>
      <c r="G472" s="1853"/>
      <c r="H472" s="1853"/>
      <c r="I472" s="1853"/>
      <c r="J472" s="1853"/>
      <c r="K472" s="1853"/>
      <c r="L472" s="1853"/>
      <c r="M472" s="1853"/>
      <c r="N472" s="1853"/>
      <c r="O472" s="1853"/>
      <c r="P472" s="1853"/>
      <c r="Q472" s="1853"/>
      <c r="R472" s="1853"/>
      <c r="S472" s="1853"/>
      <c r="T472" s="1853"/>
      <c r="U472" s="1853"/>
      <c r="V472" s="1854"/>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4" t="s">
        <v>1655</v>
      </c>
      <c r="E473" s="1755"/>
      <c r="F473" s="1755"/>
      <c r="G473" s="1755"/>
      <c r="H473" s="1755"/>
      <c r="I473" s="1755"/>
      <c r="J473" s="1755"/>
      <c r="K473" s="1755"/>
      <c r="L473" s="1755"/>
      <c r="M473" s="1755"/>
      <c r="N473" s="1755"/>
      <c r="O473" s="1755"/>
      <c r="P473" s="1755"/>
      <c r="Q473" s="1755"/>
      <c r="R473" s="1755"/>
      <c r="S473" s="1755"/>
      <c r="T473" s="1755"/>
      <c r="U473" s="1755"/>
      <c r="V473" s="1756"/>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2.95" customHeight="1">
      <c r="B486" s="45" t="s">
        <v>394</v>
      </c>
      <c r="C486" s="5"/>
      <c r="D486" s="5"/>
      <c r="E486" s="5"/>
      <c r="F486" s="5"/>
      <c r="G486" s="5"/>
      <c r="H486" s="5"/>
      <c r="I486" s="5"/>
      <c r="J486" s="5"/>
      <c r="K486" s="5"/>
      <c r="L486" s="5"/>
      <c r="M486" s="5"/>
      <c r="N486" s="5"/>
      <c r="O486" s="5"/>
      <c r="P486" s="5"/>
      <c r="Q486" s="1546" t="s">
        <v>2709</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46" t="s">
        <v>2710</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2710</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7" t="s">
        <v>397</v>
      </c>
      <c r="C489" s="1838"/>
      <c r="D489" s="1838"/>
      <c r="E489" s="1838"/>
      <c r="F489" s="1838"/>
      <c r="G489" s="1838"/>
      <c r="H489" s="1838"/>
      <c r="I489" s="1838"/>
      <c r="J489" s="1838"/>
      <c r="K489" s="1838"/>
      <c r="L489" s="1838"/>
      <c r="M489" s="1838"/>
      <c r="N489" s="1838"/>
      <c r="O489" s="1838"/>
      <c r="P489" s="1839"/>
      <c r="Q489" s="1843" t="s">
        <v>670</v>
      </c>
      <c r="R489" s="1844"/>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2.95" customHeight="1">
      <c r="B490" s="1840"/>
      <c r="C490" s="1841"/>
      <c r="D490" s="1841"/>
      <c r="E490" s="1841"/>
      <c r="F490" s="1841"/>
      <c r="G490" s="1841"/>
      <c r="H490" s="1841"/>
      <c r="I490" s="1841"/>
      <c r="J490" s="1841"/>
      <c r="K490" s="1841"/>
      <c r="L490" s="1841"/>
      <c r="M490" s="1841"/>
      <c r="N490" s="1841"/>
      <c r="O490" s="1841"/>
      <c r="P490" s="1842"/>
      <c r="Q490" s="1845"/>
      <c r="R490" s="1846"/>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2.95" customHeight="1">
      <c r="B491" s="895" t="s">
        <v>1672</v>
      </c>
      <c r="C491" s="873"/>
      <c r="D491" s="873"/>
      <c r="E491" s="873"/>
      <c r="F491" s="873"/>
      <c r="G491" s="873"/>
      <c r="H491" s="873"/>
      <c r="I491" s="873"/>
      <c r="J491" s="873"/>
      <c r="K491" s="873"/>
      <c r="L491" s="873"/>
      <c r="M491" s="873"/>
      <c r="N491" s="873"/>
      <c r="O491" s="873"/>
      <c r="P491" s="873"/>
      <c r="Q491" s="1850" t="s">
        <v>670</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46" t="s">
        <v>2711</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46" t="s">
        <v>2712</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577">
        <v>132</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1670</v>
      </c>
      <c r="C495" s="5"/>
      <c r="D495" s="5"/>
      <c r="E495" s="5"/>
      <c r="F495" s="5"/>
      <c r="G495" s="5"/>
      <c r="H495" s="5"/>
      <c r="I495" s="5"/>
      <c r="J495" s="5"/>
      <c r="K495" s="5"/>
      <c r="L495" s="5"/>
      <c r="M495" s="1446">
        <v>66</v>
      </c>
      <c r="N495" s="1447"/>
      <c r="O495" s="1447"/>
      <c r="P495" s="1448"/>
      <c r="Q495" s="121" t="s">
        <v>1671</v>
      </c>
      <c r="R495" s="5"/>
      <c r="S495" s="5"/>
      <c r="T495" s="5"/>
      <c r="U495" s="5"/>
      <c r="V495" s="5"/>
      <c r="W495" s="5"/>
      <c r="X495" s="5"/>
      <c r="Y495" s="5"/>
      <c r="Z495" s="5"/>
      <c r="AA495" s="5"/>
      <c r="AB495" s="5"/>
      <c r="AC495" s="5"/>
      <c r="AD495" s="5"/>
      <c r="AE495" s="5"/>
      <c r="AF495" s="5"/>
      <c r="AG495" s="5"/>
      <c r="AH495" s="1446">
        <v>66</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8</v>
      </c>
      <c r="AD501" s="1663"/>
      <c r="AE501" s="1663"/>
      <c r="AF501" s="1663"/>
      <c r="AG501" s="13" t="s">
        <v>403</v>
      </c>
      <c r="AH501" s="1403">
        <v>2020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t="s">
        <v>592</v>
      </c>
      <c r="AD502" s="1663"/>
      <c r="AE502" s="1663"/>
      <c r="AF502" s="1663"/>
      <c r="AG502" s="38" t="s">
        <v>403</v>
      </c>
      <c r="AH502" s="1403"/>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592</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t="s">
        <v>592</v>
      </c>
      <c r="AD505" s="1663"/>
      <c r="AE505" s="1663"/>
      <c r="AF505" s="1663"/>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t="s">
        <v>592</v>
      </c>
      <c r="AD506" s="1663"/>
      <c r="AE506" s="1663"/>
      <c r="AF506" s="1663"/>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t="s">
        <v>592</v>
      </c>
      <c r="AD507" s="1338"/>
      <c r="AE507" s="1338"/>
      <c r="AF507" s="1338"/>
      <c r="AG507" s="13" t="s">
        <v>403</v>
      </c>
      <c r="AH507" s="1403"/>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8"/>
      <c r="AC508" s="1662" t="s">
        <v>592</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1676</v>
      </c>
      <c r="AC509" s="1825" t="s">
        <v>1185</v>
      </c>
      <c r="AD509" s="1825"/>
      <c r="AE509" s="1825"/>
      <c r="AF509" s="1825"/>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1673</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34"/>
      <c r="AD512" s="1835"/>
      <c r="AE512" s="1835"/>
      <c r="AF512" s="1836"/>
      <c r="AG512" s="38"/>
      <c r="AH512" s="1749"/>
      <c r="AI512" s="1749"/>
      <c r="AJ512" s="1749"/>
      <c r="AK512" s="1750"/>
      <c r="AZ512" s="3"/>
      <c r="BA512" s="3"/>
      <c r="BB512" s="3"/>
      <c r="BC512" s="3"/>
      <c r="BD512" s="3"/>
      <c r="BE512" s="3"/>
      <c r="BF512" s="3"/>
      <c r="BG512" s="3"/>
      <c r="BH512" s="3"/>
      <c r="BI512" s="3"/>
      <c r="BJ512" s="3"/>
      <c r="BK512" s="3"/>
      <c r="BL512" s="3"/>
      <c r="BM512" s="3"/>
      <c r="BN512" s="3" t="s">
        <v>1185</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402</v>
      </c>
      <c r="AD513" s="1637"/>
      <c r="AE513" s="1637"/>
      <c r="AF513" s="1637"/>
      <c r="AG513" s="38" t="s">
        <v>403</v>
      </c>
      <c r="AH513" s="1637" t="s">
        <v>404</v>
      </c>
      <c r="AI513" s="1637"/>
      <c r="AJ513" s="1637"/>
      <c r="AK513" s="1847"/>
      <c r="AZ513" s="3"/>
      <c r="BA513" s="3"/>
      <c r="BB513" s="3"/>
      <c r="BC513" s="3"/>
      <c r="BD513" s="3"/>
      <c r="BE513" s="3"/>
      <c r="BF513" s="3"/>
      <c r="BG513" s="3"/>
      <c r="BH513" s="3"/>
      <c r="BI513" s="3"/>
      <c r="BJ513" s="3"/>
      <c r="BK513" s="3"/>
      <c r="BL513" s="3"/>
      <c r="BM513" s="3"/>
      <c r="BN513" s="3" t="s">
        <v>2105</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9</v>
      </c>
      <c r="AD514" s="1663"/>
      <c r="AE514" s="1663"/>
      <c r="AF514" s="1663"/>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2.95" customHeight="1">
      <c r="B515" s="1673"/>
      <c r="C515" s="1433"/>
      <c r="D515" s="1433"/>
      <c r="E515" s="1433"/>
      <c r="F515" s="1433"/>
      <c r="G515" s="1433"/>
      <c r="H515" s="1434"/>
      <c r="I515" t="s">
        <v>416</v>
      </c>
      <c r="AC515" s="1662" t="s">
        <v>592</v>
      </c>
      <c r="AD515" s="1663"/>
      <c r="AE515" s="1663"/>
      <c r="AF515" s="1663"/>
      <c r="AG515" s="13" t="s">
        <v>403</v>
      </c>
      <c r="AH515" s="1403"/>
      <c r="AI515" s="1403"/>
      <c r="AJ515" s="1403"/>
      <c r="AK515" s="1404"/>
      <c r="AZ515" s="3"/>
      <c r="BA515" s="3"/>
      <c r="BB515" s="3"/>
      <c r="BC515" s="3"/>
      <c r="BD515" s="3"/>
      <c r="BE515" s="3"/>
      <c r="BF515" s="3"/>
      <c r="BG515" s="3"/>
      <c r="BH515" s="3"/>
      <c r="BI515" s="3"/>
      <c r="BJ515" s="3"/>
      <c r="BK515" s="3"/>
      <c r="BL515" s="3"/>
      <c r="BM515" s="3"/>
      <c r="BN515" s="3" t="s">
        <v>2107</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5</v>
      </c>
      <c r="AD516" s="1663"/>
      <c r="AE516" s="1663"/>
      <c r="AF516" s="1663"/>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2109</v>
      </c>
    </row>
    <row r="518" spans="2:66" ht="12.95" customHeight="1">
      <c r="B518" s="1673"/>
      <c r="C518" s="1433"/>
      <c r="D518" s="1433"/>
      <c r="E518" s="1433"/>
      <c r="F518" s="1433"/>
      <c r="G518" s="1433"/>
      <c r="H518" s="1434"/>
      <c r="I518" t="s">
        <v>416</v>
      </c>
      <c r="AC518" s="1662" t="s">
        <v>592</v>
      </c>
      <c r="AD518" s="1663"/>
      <c r="AE518" s="1663"/>
      <c r="AF518" s="1663"/>
      <c r="AG518" s="13" t="s">
        <v>403</v>
      </c>
      <c r="AH518" s="1403"/>
      <c r="AI518" s="1403"/>
      <c r="AJ518" s="1403"/>
      <c r="AK518" s="1404"/>
      <c r="BB518" s="3"/>
      <c r="BC518" s="3"/>
      <c r="BD518" s="3"/>
      <c r="BE518" s="3"/>
      <c r="BF518" s="3"/>
      <c r="BG518" s="3"/>
      <c r="BH518" s="3"/>
      <c r="BI518" s="3"/>
      <c r="BJ518" s="3"/>
      <c r="BK518" s="3"/>
      <c r="BL518" s="3"/>
      <c r="BM518" s="3"/>
      <c r="BN518" s="3" t="s">
        <v>2110</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1</v>
      </c>
      <c r="AD519" s="1663"/>
      <c r="AE519" s="1663"/>
      <c r="AF519" s="1663"/>
      <c r="AG519" s="38" t="s">
        <v>403</v>
      </c>
      <c r="AH519" s="1403">
        <v>2027</v>
      </c>
      <c r="AI519" s="1403"/>
      <c r="AJ519" s="1403"/>
      <c r="AK519" s="1404"/>
      <c r="BB519" s="3"/>
      <c r="BC519" s="3"/>
      <c r="BD519" s="3"/>
      <c r="BE519" s="3"/>
      <c r="BF519" s="3"/>
      <c r="BG519" s="3"/>
      <c r="BH519" s="3"/>
      <c r="BI519" s="3"/>
      <c r="BJ519" s="3"/>
      <c r="BK519" s="3"/>
      <c r="BL519" s="3"/>
      <c r="BM519" s="3"/>
      <c r="BN519" s="3" t="s">
        <v>2111</v>
      </c>
    </row>
    <row r="520" spans="2:66" ht="12.95" customHeight="1">
      <c r="B520" s="1672" t="s">
        <v>419</v>
      </c>
      <c r="C520" s="1431"/>
      <c r="D520" s="1431"/>
      <c r="E520" s="1431"/>
      <c r="F520" s="1431"/>
      <c r="G520" s="1431"/>
      <c r="H520" s="1432"/>
      <c r="I520" s="41" t="s">
        <v>420</v>
      </c>
      <c r="J520" s="42"/>
      <c r="K520" s="42"/>
      <c r="L520" s="42"/>
      <c r="M520" s="42"/>
      <c r="N520" s="42"/>
      <c r="O520" s="1751" t="s">
        <v>334</v>
      </c>
      <c r="P520" s="1752"/>
      <c r="Q520" s="1752"/>
      <c r="R520" s="1752"/>
      <c r="S520" s="1752"/>
      <c r="T520" s="1752"/>
      <c r="U520" s="1752"/>
      <c r="V520" s="1752"/>
      <c r="W520" s="1752"/>
      <c r="X520" s="1752"/>
      <c r="Y520" s="1752"/>
      <c r="Z520" s="1752"/>
      <c r="AA520" s="1752"/>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2112</v>
      </c>
    </row>
    <row r="521" spans="2:66" ht="12.95" customHeight="1">
      <c r="B521" s="1673"/>
      <c r="C521" s="1433"/>
      <c r="D521" s="1433"/>
      <c r="E521" s="1433"/>
      <c r="F521" s="1433"/>
      <c r="G521" s="1433"/>
      <c r="H521" s="1434"/>
      <c r="I521" s="114" t="s">
        <v>421</v>
      </c>
      <c r="AB521" s="65"/>
      <c r="AC521" s="1662" t="s">
        <v>592</v>
      </c>
      <c r="AD521" s="1663"/>
      <c r="AE521" s="1663"/>
      <c r="AF521" s="1663"/>
      <c r="AG521" s="13" t="s">
        <v>403</v>
      </c>
      <c r="AH521" s="1403"/>
      <c r="AI521" s="1403"/>
      <c r="AJ521" s="1403"/>
      <c r="AK521" s="1404"/>
      <c r="AZ521" s="3"/>
      <c r="BB521" s="3"/>
      <c r="BC521" s="3"/>
      <c r="BD521" s="3"/>
      <c r="BE521" s="3"/>
      <c r="BF521" s="3"/>
      <c r="BG521" s="3"/>
      <c r="BH521" s="3"/>
      <c r="BI521" s="3"/>
      <c r="BJ521" s="3"/>
      <c r="BK521" s="3"/>
      <c r="BL521" s="3"/>
      <c r="BM521" s="3"/>
      <c r="BN521" s="3" t="s">
        <v>2113</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t="s">
        <v>592</v>
      </c>
      <c r="AD522" s="1663"/>
      <c r="AE522" s="1663"/>
      <c r="AF522" s="1663"/>
      <c r="AG522" s="38" t="s">
        <v>403</v>
      </c>
      <c r="AH522" s="1403"/>
      <c r="AI522" s="1403"/>
      <c r="AJ522" s="1403"/>
      <c r="AK522" s="1404"/>
      <c r="AZ522" s="3"/>
      <c r="BA522" s="3"/>
      <c r="BB522" s="3"/>
      <c r="BC522" s="3"/>
      <c r="BD522" s="3"/>
      <c r="BE522" s="3"/>
      <c r="BF522" s="3"/>
      <c r="BG522" s="3"/>
      <c r="BH522" s="3"/>
      <c r="BI522" s="3"/>
      <c r="BJ522" s="3"/>
      <c r="BK522" s="3"/>
      <c r="BL522" s="3"/>
      <c r="BM522" s="3"/>
      <c r="BN522" s="3" t="s">
        <v>2114</v>
      </c>
    </row>
    <row r="523" spans="2:66" ht="12.95" customHeight="1">
      <c r="B523" s="1673"/>
      <c r="C523" s="1433"/>
      <c r="D523" s="1433"/>
      <c r="E523" s="1433"/>
      <c r="F523" s="1433"/>
      <c r="G523" s="1433"/>
      <c r="H523" s="1434"/>
      <c r="I523" s="42" t="s">
        <v>423</v>
      </c>
      <c r="J523" s="42"/>
      <c r="K523" s="42"/>
      <c r="L523" s="42"/>
      <c r="M523" s="42"/>
      <c r="N523" s="42"/>
      <c r="O523" s="1751" t="s">
        <v>334</v>
      </c>
      <c r="P523" s="1752"/>
      <c r="Q523" s="1752"/>
      <c r="R523" s="1752"/>
      <c r="S523" s="1752"/>
      <c r="T523" s="1752"/>
      <c r="U523" s="1752"/>
      <c r="V523" s="1752"/>
      <c r="W523" s="1752"/>
      <c r="X523" s="1752"/>
      <c r="Y523" s="1752"/>
      <c r="Z523" s="1752"/>
      <c r="AA523" s="1752"/>
      <c r="AC523" s="1662" t="s">
        <v>592</v>
      </c>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2.95" customHeight="1">
      <c r="B524" s="1673"/>
      <c r="C524" s="1433"/>
      <c r="D524" s="1433"/>
      <c r="E524" s="1433"/>
      <c r="F524" s="1433"/>
      <c r="G524" s="1433"/>
      <c r="H524" s="1434"/>
      <c r="I524" t="s">
        <v>421</v>
      </c>
      <c r="AC524" s="1662" t="s">
        <v>592</v>
      </c>
      <c r="AD524" s="1663"/>
      <c r="AE524" s="1663"/>
      <c r="AF524" s="1663"/>
      <c r="AG524" s="13" t="s">
        <v>403</v>
      </c>
      <c r="AH524" s="1403"/>
      <c r="AI524" s="1403"/>
      <c r="AJ524" s="1403"/>
      <c r="AK524" s="1404"/>
      <c r="AZ524" s="3"/>
      <c r="BA524" s="3"/>
      <c r="BB524" s="3"/>
      <c r="BC524" s="3"/>
      <c r="BD524" s="3"/>
      <c r="BE524" s="3"/>
      <c r="BF524" s="3"/>
      <c r="BG524" s="3"/>
      <c r="BH524" s="3"/>
      <c r="BI524" s="3"/>
      <c r="BJ524" s="3"/>
      <c r="BK524" s="3"/>
      <c r="BL524" s="3"/>
      <c r="BM524" s="3"/>
      <c r="BN524" s="3" t="s">
        <v>2116</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3"/>
      <c r="AI525" s="1403"/>
      <c r="AJ525" s="1403"/>
      <c r="AK525" s="1404"/>
      <c r="AZ525" s="3"/>
      <c r="BA525" s="3"/>
      <c r="BB525" s="3"/>
      <c r="BC525" s="3"/>
      <c r="BD525" s="3"/>
      <c r="BE525" s="3"/>
      <c r="BF525" s="3"/>
      <c r="BG525" s="3"/>
      <c r="BH525" s="3"/>
      <c r="BI525" s="3"/>
      <c r="BJ525" s="3"/>
      <c r="BK525" s="3"/>
      <c r="BL525" s="3"/>
      <c r="BM525" s="3"/>
      <c r="BN525" s="3" t="s">
        <v>2117</v>
      </c>
    </row>
    <row r="526" spans="2:66" ht="12.95" customHeight="1">
      <c r="B526" s="1673"/>
      <c r="C526" s="1433"/>
      <c r="D526" s="1433"/>
      <c r="E526" s="1433"/>
      <c r="F526" s="1433"/>
      <c r="G526" s="1433"/>
      <c r="H526" s="1434"/>
      <c r="I526" s="42" t="s">
        <v>423</v>
      </c>
      <c r="J526" s="42"/>
      <c r="K526" s="42"/>
      <c r="L526" s="42"/>
      <c r="M526" s="42"/>
      <c r="N526" s="42"/>
      <c r="O526" s="1751" t="s">
        <v>334</v>
      </c>
      <c r="P526" s="1752"/>
      <c r="Q526" s="1752"/>
      <c r="R526" s="1752"/>
      <c r="S526" s="1752"/>
      <c r="T526" s="1752"/>
      <c r="U526" s="1752"/>
      <c r="V526" s="1752"/>
      <c r="W526" s="1752"/>
      <c r="X526" s="1752"/>
      <c r="Y526" s="1752"/>
      <c r="Z526" s="1752"/>
      <c r="AA526" s="1752"/>
      <c r="AC526" s="1662" t="s">
        <v>592</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2.95" customHeight="1">
      <c r="B527" s="1673"/>
      <c r="C527" s="1433"/>
      <c r="D527" s="1433"/>
      <c r="E527" s="1433"/>
      <c r="F527" s="1433"/>
      <c r="G527" s="1433"/>
      <c r="H527" s="1434"/>
      <c r="I527" t="s">
        <v>421</v>
      </c>
      <c r="AC527" s="1662" t="s">
        <v>592</v>
      </c>
      <c r="AD527" s="1663"/>
      <c r="AE527" s="1663"/>
      <c r="AF527" s="1663"/>
      <c r="AG527" s="13" t="s">
        <v>403</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3"/>
      <c r="AI528" s="1403"/>
      <c r="AJ528" s="1403"/>
      <c r="AK528" s="1404"/>
      <c r="AZ528" s="3"/>
      <c r="BA528" s="3"/>
      <c r="BB528" s="3"/>
      <c r="BC528" s="3"/>
      <c r="BD528" s="3"/>
      <c r="BE528" s="3"/>
      <c r="BF528" s="3"/>
      <c r="BG528" s="3"/>
      <c r="BH528" s="3"/>
      <c r="BI528" s="3"/>
      <c r="BJ528" s="3"/>
      <c r="BK528" s="3"/>
      <c r="BL528" s="3"/>
      <c r="BM528" s="3"/>
      <c r="BN528" s="3" t="s">
        <v>2120</v>
      </c>
    </row>
    <row r="529" spans="1:66" ht="12.95" customHeight="1">
      <c r="B529" s="1673"/>
      <c r="C529" s="1433"/>
      <c r="D529" s="1433"/>
      <c r="E529" s="1433"/>
      <c r="F529" s="1433"/>
      <c r="G529" s="1433"/>
      <c r="H529" s="1434"/>
      <c r="I529" s="42" t="s">
        <v>423</v>
      </c>
      <c r="J529" s="42"/>
      <c r="K529" s="42"/>
      <c r="L529" s="42"/>
      <c r="M529" s="42"/>
      <c r="N529" s="42"/>
      <c r="O529" s="1751" t="s">
        <v>334</v>
      </c>
      <c r="P529" s="1752"/>
      <c r="Q529" s="1752"/>
      <c r="R529" s="1752"/>
      <c r="S529" s="1752"/>
      <c r="T529" s="1752"/>
      <c r="U529" s="1752"/>
      <c r="V529" s="1752"/>
      <c r="W529" s="1752"/>
      <c r="X529" s="1752"/>
      <c r="Y529" s="1752"/>
      <c r="Z529" s="1752"/>
      <c r="AA529" s="1752"/>
      <c r="AC529" s="1662" t="s">
        <v>592</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2.95" customHeight="1">
      <c r="B530" s="1673"/>
      <c r="C530" s="1433"/>
      <c r="D530" s="1433"/>
      <c r="E530" s="1433"/>
      <c r="F530" s="1433"/>
      <c r="G530" s="1433"/>
      <c r="H530" s="1434"/>
      <c r="I530" t="s">
        <v>421</v>
      </c>
      <c r="AC530" s="1662" t="s">
        <v>592</v>
      </c>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2.95" customHeight="1">
      <c r="B532" s="1673"/>
      <c r="C532" s="1433"/>
      <c r="D532" s="1433"/>
      <c r="E532" s="1433"/>
      <c r="F532" s="1433"/>
      <c r="G532" s="1433"/>
      <c r="H532" s="1434"/>
      <c r="I532" s="42" t="s">
        <v>423</v>
      </c>
      <c r="J532" s="42"/>
      <c r="K532" s="42"/>
      <c r="L532" s="42"/>
      <c r="M532" s="42"/>
      <c r="N532" s="42"/>
      <c r="O532" s="1751" t="s">
        <v>334</v>
      </c>
      <c r="P532" s="1752"/>
      <c r="Q532" s="1752"/>
      <c r="R532" s="1752"/>
      <c r="S532" s="1752"/>
      <c r="T532" s="1752"/>
      <c r="U532" s="1752"/>
      <c r="V532" s="1752"/>
      <c r="W532" s="1752"/>
      <c r="X532" s="1752"/>
      <c r="Y532" s="1752"/>
      <c r="Z532" s="1752"/>
      <c r="AA532" s="1752"/>
      <c r="AC532" s="1662" t="s">
        <v>592</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2.95" customHeight="1">
      <c r="B533" s="1673"/>
      <c r="C533" s="1433"/>
      <c r="D533" s="1433"/>
      <c r="E533" s="1433"/>
      <c r="F533" s="1433"/>
      <c r="G533" s="1433"/>
      <c r="H533" s="1434"/>
      <c r="I533" t="s">
        <v>421</v>
      </c>
      <c r="AC533" s="1662" t="s">
        <v>592</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2.95" customHeight="1">
      <c r="B535" s="1673"/>
      <c r="C535" s="1433"/>
      <c r="D535" s="1433"/>
      <c r="E535" s="1433"/>
      <c r="F535" s="1433"/>
      <c r="G535" s="1433"/>
      <c r="H535" s="1434"/>
      <c r="I535" s="42" t="s">
        <v>423</v>
      </c>
      <c r="J535" s="42"/>
      <c r="K535" s="42"/>
      <c r="L535" s="42"/>
      <c r="M535" s="42"/>
      <c r="N535" s="42"/>
      <c r="O535" s="1751" t="s">
        <v>334</v>
      </c>
      <c r="P535" s="1752"/>
      <c r="Q535" s="1752"/>
      <c r="R535" s="1752"/>
      <c r="S535" s="1752"/>
      <c r="T535" s="1752"/>
      <c r="U535" s="1752"/>
      <c r="V535" s="1752"/>
      <c r="W535" s="1752"/>
      <c r="X535" s="1752"/>
      <c r="Y535" s="1752"/>
      <c r="Z535" s="1752"/>
      <c r="AA535" s="1752"/>
      <c r="AC535" s="1662" t="s">
        <v>592</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2.95" customHeight="1">
      <c r="B536" s="1673"/>
      <c r="C536" s="1433"/>
      <c r="D536" s="1433"/>
      <c r="E536" s="1433"/>
      <c r="F536" s="1433"/>
      <c r="G536" s="1433"/>
      <c r="H536" s="1434"/>
      <c r="I536" t="s">
        <v>421</v>
      </c>
      <c r="AC536" s="1662" t="s">
        <v>592</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5</v>
      </c>
      <c r="AD538" s="1663"/>
      <c r="AE538" s="1663"/>
      <c r="AF538" s="1663"/>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5</v>
      </c>
      <c r="AD539" s="1663"/>
      <c r="AE539" s="1663"/>
      <c r="AF539" s="1663"/>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7</v>
      </c>
      <c r="AD540" s="1663"/>
      <c r="AE540" s="1663"/>
      <c r="AF540" s="1663"/>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7</v>
      </c>
      <c r="AD541" s="1663"/>
      <c r="AE541" s="1663"/>
      <c r="AF541" s="1663"/>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7</v>
      </c>
      <c r="AD542" s="1663"/>
      <c r="AE542" s="1663"/>
      <c r="AF542" s="1663"/>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No</v>
      </c>
    </row>
    <row r="551" spans="1:61" ht="12.95"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454</v>
      </c>
      <c r="X551" s="1431"/>
      <c r="Y551" s="1432"/>
      <c r="Z551" s="1672" t="s">
        <v>1852</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No</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2620</v>
      </c>
      <c r="D554" s="1693"/>
      <c r="E554" s="1693"/>
      <c r="F554" s="1693"/>
      <c r="G554" s="1693"/>
      <c r="H554" s="1693"/>
      <c r="I554" s="1693"/>
      <c r="J554" s="1693"/>
      <c r="K554" s="1693"/>
      <c r="L554" s="1693"/>
      <c r="M554" s="1693" t="s">
        <v>2120</v>
      </c>
      <c r="N554" s="1693"/>
      <c r="O554" s="1693"/>
      <c r="P554" s="1693"/>
      <c r="Q554" s="1453">
        <v>30</v>
      </c>
      <c r="R554" s="1453"/>
      <c r="S554" s="1454"/>
      <c r="T554" s="1452">
        <v>30</v>
      </c>
      <c r="U554" s="1453"/>
      <c r="V554" s="1454"/>
      <c r="W554" s="1455">
        <v>6.7000000000000004E-2</v>
      </c>
      <c r="X554" s="1456"/>
      <c r="Y554" s="1457"/>
      <c r="Z554" s="1694" t="s">
        <v>2635</v>
      </c>
      <c r="AA554" s="1694"/>
      <c r="AB554" s="1694"/>
      <c r="AC554" s="1694"/>
      <c r="AD554" s="1694"/>
      <c r="AE554" s="1675">
        <v>1</v>
      </c>
      <c r="AF554" s="1676"/>
      <c r="AG554" s="1676"/>
      <c r="AH554" s="1677"/>
      <c r="AI554" s="1678"/>
      <c r="AJ554" s="1679"/>
      <c r="AK554" s="1679"/>
      <c r="AL554" s="1680"/>
      <c r="AM554" s="1668">
        <v>7500000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2620</v>
      </c>
      <c r="D555" s="1681"/>
      <c r="E555" s="1681"/>
      <c r="F555" s="1681"/>
      <c r="G555" s="1681"/>
      <c r="H555" s="1681"/>
      <c r="I555" s="1681"/>
      <c r="J555" s="1681"/>
      <c r="K555" s="1681"/>
      <c r="L555" s="1681"/>
      <c r="M555" s="1693" t="s">
        <v>2121</v>
      </c>
      <c r="N555" s="1693"/>
      <c r="O555" s="1693"/>
      <c r="P555" s="1693"/>
      <c r="Q555" s="1452">
        <v>30</v>
      </c>
      <c r="R555" s="1453"/>
      <c r="S555" s="1454"/>
      <c r="T555" s="1452">
        <v>30</v>
      </c>
      <c r="U555" s="1453"/>
      <c r="V555" s="1454"/>
      <c r="W555" s="1455">
        <f>+W554</f>
        <v>6.7000000000000004E-2</v>
      </c>
      <c r="X555" s="1456"/>
      <c r="Y555" s="1457"/>
      <c r="Z555" s="1694" t="s">
        <v>2635</v>
      </c>
      <c r="AA555" s="1694"/>
      <c r="AB555" s="1694"/>
      <c r="AC555" s="1694"/>
      <c r="AD555" s="1694"/>
      <c r="AE555" s="1675">
        <v>1</v>
      </c>
      <c r="AF555" s="1676"/>
      <c r="AG555" s="1676"/>
      <c r="AH555" s="1677"/>
      <c r="AI555" s="1678"/>
      <c r="AJ555" s="1679"/>
      <c r="AK555" s="1679"/>
      <c r="AL555" s="1680"/>
      <c r="AM555" s="1668">
        <v>3000000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2620</v>
      </c>
      <c r="D556" s="1681"/>
      <c r="E556" s="1681"/>
      <c r="F556" s="1681"/>
      <c r="G556" s="1681"/>
      <c r="H556" s="1681"/>
      <c r="I556" s="1681"/>
      <c r="J556" s="1681"/>
      <c r="K556" s="1681"/>
      <c r="L556" s="1681"/>
      <c r="M556" s="1693" t="s">
        <v>2119</v>
      </c>
      <c r="N556" s="1693"/>
      <c r="O556" s="1693"/>
      <c r="P556" s="1693"/>
      <c r="Q556" s="1452">
        <v>30</v>
      </c>
      <c r="R556" s="1453"/>
      <c r="S556" s="1454"/>
      <c r="T556" s="1452">
        <v>30</v>
      </c>
      <c r="U556" s="1453"/>
      <c r="V556" s="1454"/>
      <c r="W556" s="1455">
        <f>+W555</f>
        <v>6.7000000000000004E-2</v>
      </c>
      <c r="X556" s="1456"/>
      <c r="Y556" s="1457"/>
      <c r="Z556" s="1694" t="s">
        <v>2635</v>
      </c>
      <c r="AA556" s="1694"/>
      <c r="AB556" s="1694"/>
      <c r="AC556" s="1694"/>
      <c r="AD556" s="1694"/>
      <c r="AE556" s="1675">
        <v>1</v>
      </c>
      <c r="AF556" s="1676"/>
      <c r="AG556" s="1676"/>
      <c r="AH556" s="1677"/>
      <c r="AI556" s="1678"/>
      <c r="AJ556" s="1679"/>
      <c r="AK556" s="1679"/>
      <c r="AL556" s="1680"/>
      <c r="AM556" s="1668">
        <v>8500000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582</v>
      </c>
      <c r="C557" s="1681" t="s">
        <v>2671</v>
      </c>
      <c r="D557" s="1681"/>
      <c r="E557" s="1681"/>
      <c r="F557" s="1681"/>
      <c r="G557" s="1681"/>
      <c r="H557" s="1681"/>
      <c r="I557" s="1681"/>
      <c r="J557" s="1681"/>
      <c r="K557" s="1681"/>
      <c r="L557" s="1681"/>
      <c r="M557" s="1693" t="s">
        <v>2111</v>
      </c>
      <c r="N557" s="1693"/>
      <c r="O557" s="1693"/>
      <c r="P557" s="1693"/>
      <c r="Q557" s="1452"/>
      <c r="R557" s="1453"/>
      <c r="S557" s="1454"/>
      <c r="T557" s="1452"/>
      <c r="U557" s="1453"/>
      <c r="V557" s="1454"/>
      <c r="W557" s="1455"/>
      <c r="X557" s="1456"/>
      <c r="Y557" s="1457"/>
      <c r="Z557" s="1694" t="s">
        <v>592</v>
      </c>
      <c r="AA557" s="1694"/>
      <c r="AB557" s="1694"/>
      <c r="AC557" s="1694"/>
      <c r="AD557" s="1694"/>
      <c r="AE557" s="1675"/>
      <c r="AF557" s="1676"/>
      <c r="AG557" s="1676"/>
      <c r="AH557" s="1677"/>
      <c r="AI557" s="1678"/>
      <c r="AJ557" s="1679"/>
      <c r="AK557" s="1679"/>
      <c r="AL557" s="1680"/>
      <c r="AM557" s="1668">
        <v>4986190</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764</v>
      </c>
      <c r="C558" s="1681"/>
      <c r="D558" s="1681"/>
      <c r="E558" s="1681"/>
      <c r="F558" s="1681"/>
      <c r="G558" s="1681"/>
      <c r="H558" s="1681"/>
      <c r="I558" s="1681"/>
      <c r="J558" s="1681"/>
      <c r="K558" s="1681"/>
      <c r="L558" s="1681"/>
      <c r="M558" s="1693" t="s">
        <v>1185</v>
      </c>
      <c r="N558" s="1693"/>
      <c r="O558" s="1693"/>
      <c r="P558" s="1693"/>
      <c r="Q558" s="1452"/>
      <c r="R558" s="1453"/>
      <c r="S558" s="1454"/>
      <c r="T558" s="1452"/>
      <c r="U558" s="1453"/>
      <c r="V558" s="1454"/>
      <c r="W558" s="1455"/>
      <c r="X558" s="1456"/>
      <c r="Y558" s="1457"/>
      <c r="Z558" s="1694" t="s">
        <v>1185</v>
      </c>
      <c r="AA558" s="1694"/>
      <c r="AB558" s="1694"/>
      <c r="AC558" s="1694"/>
      <c r="AD558" s="1694"/>
      <c r="AE558" s="1675"/>
      <c r="AF558" s="1676"/>
      <c r="AG558" s="1676"/>
      <c r="AH558" s="1677"/>
      <c r="AI558" s="1678"/>
      <c r="AJ558" s="1679"/>
      <c r="AK558" s="1679"/>
      <c r="AL558" s="1680"/>
      <c r="AM558" s="1668"/>
      <c r="AN558" s="1669"/>
      <c r="AO558" s="1669"/>
      <c r="AP558" s="1669"/>
      <c r="AQ558" s="1669"/>
      <c r="AR558" s="1669"/>
      <c r="AS558" s="1670"/>
      <c r="AT558" s="1148" t="str">
        <f t="shared" ref="AT558:AT565" si="0">IF(AND(NOT(C557=""),C558="",NOT(C559="")),"!","")</f>
        <v/>
      </c>
      <c r="AU558" s="1147"/>
      <c r="BB558" s="3"/>
      <c r="BC558" s="3"/>
      <c r="BD558" s="3"/>
      <c r="BE558" s="3"/>
      <c r="BF558" s="3"/>
      <c r="BG558" s="3"/>
      <c r="BH558" s="3" t="s">
        <v>764</v>
      </c>
      <c r="BI558" s="3" t="str">
        <f>N665</f>
        <v>No</v>
      </c>
    </row>
    <row r="559" spans="1:61" ht="12.95" customHeight="1">
      <c r="B559" s="52" t="s">
        <v>585</v>
      </c>
      <c r="C559" s="1681"/>
      <c r="D559" s="1681"/>
      <c r="E559" s="1681"/>
      <c r="F559" s="1681"/>
      <c r="G559" s="1681"/>
      <c r="H559" s="1681"/>
      <c r="I559" s="1681"/>
      <c r="J559" s="1681"/>
      <c r="K559" s="1681"/>
      <c r="L559" s="1681"/>
      <c r="M559" s="1693" t="s">
        <v>1185</v>
      </c>
      <c r="N559" s="1693"/>
      <c r="O559" s="1693"/>
      <c r="P559" s="1693"/>
      <c r="Q559" s="1452"/>
      <c r="R559" s="1453"/>
      <c r="S559" s="1454"/>
      <c r="T559" s="1452"/>
      <c r="U559" s="1453"/>
      <c r="V559" s="1454"/>
      <c r="W559" s="1455"/>
      <c r="X559" s="1456"/>
      <c r="Y559" s="1457"/>
      <c r="Z559" s="1694" t="s">
        <v>1185</v>
      </c>
      <c r="AA559" s="1694"/>
      <c r="AB559" s="1694"/>
      <c r="AC559" s="1694"/>
      <c r="AD559" s="1694"/>
      <c r="AE559" s="1675"/>
      <c r="AF559" s="1676"/>
      <c r="AG559" s="1676"/>
      <c r="AH559" s="1677"/>
      <c r="AI559" s="1678"/>
      <c r="AJ559" s="1679"/>
      <c r="AK559" s="1679"/>
      <c r="AL559" s="1680"/>
      <c r="AM559" s="1668"/>
      <c r="AN559" s="1669"/>
      <c r="AO559" s="1669"/>
      <c r="AP559" s="1669"/>
      <c r="AQ559" s="1669"/>
      <c r="AR559" s="1669"/>
      <c r="AS559" s="1670"/>
      <c r="AT559" s="1148" t="str">
        <f t="shared" si="0"/>
        <v/>
      </c>
      <c r="AU559" s="1147"/>
      <c r="BB559" s="3"/>
      <c r="BC559" s="3"/>
      <c r="BD559" s="3"/>
      <c r="BE559" s="3"/>
      <c r="BF559" s="3"/>
      <c r="BG559" s="3"/>
      <c r="BH559" s="3" t="s">
        <v>585</v>
      </c>
      <c r="BI559" s="3" t="str">
        <f>AG665</f>
        <v>No</v>
      </c>
    </row>
    <row r="560" spans="1:61" ht="12.95" customHeight="1">
      <c r="B560" s="52" t="s">
        <v>456</v>
      </c>
      <c r="C560" s="1681"/>
      <c r="D560" s="1681"/>
      <c r="E560" s="1681"/>
      <c r="F560" s="1681"/>
      <c r="G560" s="1681"/>
      <c r="H560" s="1681"/>
      <c r="I560" s="1681"/>
      <c r="J560" s="1681"/>
      <c r="K560" s="1681"/>
      <c r="L560" s="1681"/>
      <c r="M560" s="1693" t="s">
        <v>1185</v>
      </c>
      <c r="N560" s="1693"/>
      <c r="O560" s="1693"/>
      <c r="P560" s="1693"/>
      <c r="Q560" s="1452"/>
      <c r="R560" s="1453"/>
      <c r="S560" s="1454"/>
      <c r="T560" s="1452"/>
      <c r="U560" s="1453"/>
      <c r="V560" s="1454"/>
      <c r="W560" s="1455"/>
      <c r="X560" s="1456"/>
      <c r="Y560" s="1457"/>
      <c r="Z560" s="1694" t="s">
        <v>1185</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2.95" customHeight="1">
      <c r="B561" s="52" t="s">
        <v>457</v>
      </c>
      <c r="C561" s="1681"/>
      <c r="D561" s="1681"/>
      <c r="E561" s="1681"/>
      <c r="F561" s="1681"/>
      <c r="G561" s="1681"/>
      <c r="H561" s="1681"/>
      <c r="I561" s="1681"/>
      <c r="J561" s="1681"/>
      <c r="K561" s="1681"/>
      <c r="L561" s="1681"/>
      <c r="M561" s="1693" t="s">
        <v>1185</v>
      </c>
      <c r="N561" s="1693"/>
      <c r="O561" s="1693"/>
      <c r="P561" s="1693"/>
      <c r="Q561" s="1452"/>
      <c r="R561" s="1453"/>
      <c r="S561" s="1454"/>
      <c r="T561" s="1452"/>
      <c r="U561" s="1453"/>
      <c r="V561" s="1454"/>
      <c r="W561" s="1455"/>
      <c r="X561" s="1456"/>
      <c r="Y561" s="1457"/>
      <c r="Z561" s="1694" t="s">
        <v>1185</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2.95" customHeight="1">
      <c r="B562" s="52" t="s">
        <v>462</v>
      </c>
      <c r="C562" s="1681"/>
      <c r="D562" s="1681"/>
      <c r="E562" s="1681"/>
      <c r="F562" s="1681"/>
      <c r="G562" s="1681"/>
      <c r="H562" s="1681"/>
      <c r="I562" s="1681"/>
      <c r="J562" s="1681"/>
      <c r="K562" s="1681"/>
      <c r="L562" s="1681"/>
      <c r="M562" s="1693" t="s">
        <v>1185</v>
      </c>
      <c r="N562" s="1693"/>
      <c r="O562" s="1693"/>
      <c r="P562" s="1693"/>
      <c r="Q562" s="1452"/>
      <c r="R562" s="1453"/>
      <c r="S562" s="1454"/>
      <c r="T562" s="1452"/>
      <c r="U562" s="1453"/>
      <c r="V562" s="1454"/>
      <c r="W562" s="1455"/>
      <c r="X562" s="1456"/>
      <c r="Y562" s="1457"/>
      <c r="Z562" s="1694" t="s">
        <v>1185</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2.95" customHeight="1">
      <c r="B563" s="52" t="s">
        <v>647</v>
      </c>
      <c r="C563" s="1681"/>
      <c r="D563" s="1681"/>
      <c r="E563" s="1681"/>
      <c r="F563" s="1681"/>
      <c r="G563" s="1681"/>
      <c r="H563" s="1681"/>
      <c r="I563" s="1681"/>
      <c r="J563" s="1681"/>
      <c r="K563" s="1681"/>
      <c r="L563" s="1681"/>
      <c r="M563" s="1693" t="s">
        <v>1185</v>
      </c>
      <c r="N563" s="1693"/>
      <c r="O563" s="1693"/>
      <c r="P563" s="1693"/>
      <c r="Q563" s="1452"/>
      <c r="R563" s="1453"/>
      <c r="S563" s="1454"/>
      <c r="T563" s="1452"/>
      <c r="U563" s="1453"/>
      <c r="V563" s="1454"/>
      <c r="W563" s="1455"/>
      <c r="X563" s="1456"/>
      <c r="Y563" s="1457"/>
      <c r="Z563" s="1694" t="s">
        <v>1185</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1185</v>
      </c>
      <c r="N564" s="1693"/>
      <c r="O564" s="1693"/>
      <c r="P564" s="1693"/>
      <c r="Q564" s="1452"/>
      <c r="R564" s="1453"/>
      <c r="S564" s="1454"/>
      <c r="T564" s="1452"/>
      <c r="U564" s="1453"/>
      <c r="V564" s="1454"/>
      <c r="W564" s="1455"/>
      <c r="X564" s="1456"/>
      <c r="Y564" s="1457"/>
      <c r="Z564" s="1694" t="s">
        <v>1185</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1185</v>
      </c>
      <c r="N565" s="1693"/>
      <c r="O565" s="1693"/>
      <c r="P565" s="1693"/>
      <c r="Q565" s="1452"/>
      <c r="R565" s="1453"/>
      <c r="S565" s="1454"/>
      <c r="T565" s="1452"/>
      <c r="U565" s="1453"/>
      <c r="V565" s="1454"/>
      <c r="W565" s="1455"/>
      <c r="X565" s="1456"/>
      <c r="Y565" s="1457"/>
      <c r="Z565" s="1694" t="s">
        <v>1185</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4"/>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23986190</v>
      </c>
      <c r="AN566" s="1616"/>
      <c r="AO566" s="1616"/>
      <c r="AP566" s="1616"/>
      <c r="AQ566" s="1616"/>
      <c r="AR566" s="1616"/>
      <c r="AS566" s="1617"/>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9" t="str">
        <f>C554</f>
        <v>California Bank &amp; Trust</v>
      </c>
      <c r="H568" s="1359"/>
      <c r="I568" s="1359"/>
      <c r="J568" s="1359"/>
      <c r="K568" s="1359"/>
      <c r="L568" s="1359"/>
      <c r="M568" s="1359"/>
      <c r="N568" s="1359"/>
      <c r="O568" s="1359"/>
      <c r="P568" s="1359"/>
      <c r="Q568" s="1359"/>
      <c r="R568" s="1359"/>
      <c r="S568" s="8"/>
      <c r="T568" s="55" t="s">
        <v>113</v>
      </c>
      <c r="U568" t="s">
        <v>464</v>
      </c>
      <c r="Z568" s="1359" t="str">
        <f>C555</f>
        <v>California Bank &amp; Trust</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417" t="s">
        <v>2627</v>
      </c>
      <c r="H569" s="1372"/>
      <c r="I569" s="1372"/>
      <c r="J569" s="1372"/>
      <c r="K569" s="1372"/>
      <c r="L569" s="1372"/>
      <c r="M569" s="1372"/>
      <c r="N569" s="1372"/>
      <c r="O569" s="1372"/>
      <c r="P569" s="1372"/>
      <c r="Q569" s="1372"/>
      <c r="R569" s="1372"/>
      <c r="S569" s="8"/>
      <c r="T569" s="22"/>
      <c r="U569" t="s">
        <v>85</v>
      </c>
      <c r="Z569" s="1372" t="s">
        <v>2627</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417" t="s">
        <v>2626</v>
      </c>
      <c r="H570" s="1372"/>
      <c r="I570" s="1372"/>
      <c r="J570" s="1372"/>
      <c r="K570" s="1372"/>
      <c r="L570" s="1372"/>
      <c r="M570" s="1372"/>
      <c r="N570" s="1372"/>
      <c r="O570" s="1372"/>
      <c r="P570" s="1372"/>
      <c r="Q570" s="1372"/>
      <c r="R570" s="1372"/>
      <c r="T570" s="22"/>
      <c r="U570" t="s">
        <v>581</v>
      </c>
      <c r="Z570" s="1349" t="s">
        <v>2626</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417" t="s">
        <v>2628</v>
      </c>
      <c r="H571" s="1372"/>
      <c r="I571" s="1372"/>
      <c r="J571" s="1372"/>
      <c r="K571" s="1372"/>
      <c r="L571" s="1372"/>
      <c r="M571" s="1372"/>
      <c r="N571" s="1372"/>
      <c r="O571" s="1372"/>
      <c r="P571" s="1372"/>
      <c r="Q571" s="1372"/>
      <c r="R571" s="1372"/>
      <c r="S571" s="8"/>
      <c r="T571" s="22"/>
      <c r="U571" t="s">
        <v>17</v>
      </c>
      <c r="Z571" s="1349" t="s">
        <v>2628</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2629</v>
      </c>
      <c r="H572" s="1347"/>
      <c r="I572" s="1347"/>
      <c r="J572" s="1347"/>
      <c r="K572" s="1347"/>
      <c r="L572" s="1347"/>
      <c r="O572" s="33" t="s">
        <v>206</v>
      </c>
      <c r="P572" s="1437"/>
      <c r="Q572" s="1437"/>
      <c r="R572" s="1437"/>
      <c r="S572" s="10"/>
      <c r="T572" s="22"/>
      <c r="U572" t="s">
        <v>316</v>
      </c>
      <c r="Z572" s="1347" t="s">
        <v>2629</v>
      </c>
      <c r="AA572" s="1347"/>
      <c r="AB572" s="1347"/>
      <c r="AC572" s="1347"/>
      <c r="AD572" s="1347"/>
      <c r="AE572" s="1347"/>
      <c r="AH572" s="33" t="s">
        <v>206</v>
      </c>
      <c r="AI572" s="1437"/>
      <c r="AJ572" s="1437"/>
      <c r="AK572" s="1437"/>
      <c r="BB572" s="3"/>
      <c r="BC572" s="3"/>
      <c r="BD572" s="3"/>
      <c r="BE572" s="3"/>
      <c r="BF572" s="3"/>
      <c r="BG572" s="3"/>
      <c r="BH572" s="3"/>
      <c r="BI572" s="3"/>
    </row>
    <row r="573" spans="1:61" ht="12.95" customHeight="1">
      <c r="A573" s="22"/>
      <c r="B573" t="s">
        <v>18</v>
      </c>
      <c r="H573" s="1417" t="s">
        <v>2631</v>
      </c>
      <c r="I573" s="1372"/>
      <c r="J573" s="1372"/>
      <c r="K573" s="1372"/>
      <c r="L573" s="1372"/>
      <c r="M573" s="1372"/>
      <c r="N573" s="1372"/>
      <c r="O573" s="1372"/>
      <c r="P573" s="1372"/>
      <c r="Q573" s="1372"/>
      <c r="R573" s="1372"/>
      <c r="S573" s="8"/>
      <c r="T573" s="22"/>
      <c r="U573" t="s">
        <v>18</v>
      </c>
      <c r="AA573" s="1417" t="s">
        <v>2632</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1186</v>
      </c>
      <c r="H574" s="8"/>
      <c r="I574" s="8"/>
      <c r="J574" s="8"/>
      <c r="K574" s="8"/>
      <c r="L574" s="8"/>
      <c r="M574" s="1696" t="s">
        <v>2630</v>
      </c>
      <c r="N574" s="1697"/>
      <c r="O574" s="1697"/>
      <c r="P574" s="1697"/>
      <c r="Q574" s="1697"/>
      <c r="R574" s="1697"/>
      <c r="S574" s="8"/>
      <c r="T574" s="22"/>
      <c r="U574" s="320" t="s">
        <v>1186</v>
      </c>
      <c r="AA574" s="8"/>
      <c r="AB574" s="8"/>
      <c r="AC574" s="8"/>
      <c r="AD574" s="8"/>
      <c r="AE574" s="8"/>
      <c r="AF574" s="1696" t="s">
        <v>2630</v>
      </c>
      <c r="AG574" s="1697"/>
      <c r="AH574" s="1697"/>
      <c r="AI574" s="1697"/>
      <c r="AJ574" s="1697"/>
      <c r="AK574" s="1697"/>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California Bank &amp; Trust</v>
      </c>
      <c r="H577" s="1359"/>
      <c r="I577" s="1359"/>
      <c r="J577" s="1359"/>
      <c r="K577" s="1359"/>
      <c r="L577" s="1359"/>
      <c r="M577" s="1359"/>
      <c r="N577" s="1359"/>
      <c r="O577" s="1359"/>
      <c r="P577" s="1359"/>
      <c r="Q577" s="1359"/>
      <c r="R577" s="1359"/>
      <c r="T577" s="55" t="s">
        <v>582</v>
      </c>
      <c r="U577" t="s">
        <v>464</v>
      </c>
      <c r="Z577" s="1359" t="str">
        <f>C557</f>
        <v>Red Stone Equity</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2627</v>
      </c>
      <c r="H578" s="1372"/>
      <c r="I578" s="1372"/>
      <c r="J578" s="1372"/>
      <c r="K578" s="1372"/>
      <c r="L578" s="1372"/>
      <c r="M578" s="1372"/>
      <c r="N578" s="1372"/>
      <c r="O578" s="1372"/>
      <c r="P578" s="1372"/>
      <c r="Q578" s="1372"/>
      <c r="R578" s="1372"/>
      <c r="T578" s="22"/>
      <c r="U578" t="s">
        <v>85</v>
      </c>
      <c r="Z578" s="1372" t="str">
        <f>+AA312</f>
        <v>7130 Avenuda Encinas, Suite 201</v>
      </c>
      <c r="AA578" s="1372"/>
      <c r="AB578" s="1372"/>
      <c r="AC578" s="1372"/>
      <c r="AD578" s="1372"/>
      <c r="AE578" s="1372"/>
      <c r="AF578" s="1372"/>
      <c r="AG578" s="1372"/>
      <c r="AH578" s="1372"/>
      <c r="AI578" s="1372"/>
      <c r="AJ578" s="1372"/>
      <c r="AK578" s="1372"/>
      <c r="BB578" s="3"/>
      <c r="BC578" s="3"/>
    </row>
    <row r="579" spans="1:55" ht="12.95" customHeight="1">
      <c r="A579" s="22"/>
      <c r="B579" t="s">
        <v>581</v>
      </c>
      <c r="G579" s="1349" t="s">
        <v>2626</v>
      </c>
      <c r="H579" s="1349"/>
      <c r="I579" s="1349"/>
      <c r="J579" s="1349"/>
      <c r="K579" s="1349"/>
      <c r="L579" s="1349"/>
      <c r="M579" s="1349"/>
      <c r="N579" s="1349"/>
      <c r="O579" s="1349"/>
      <c r="P579" s="1349"/>
      <c r="Q579" s="1349"/>
      <c r="R579" s="1349"/>
      <c r="T579" s="22"/>
      <c r="U579" t="s">
        <v>581</v>
      </c>
      <c r="Z579" s="1349" t="str">
        <f>+AA313</f>
        <v>Carlsbad</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2628</v>
      </c>
      <c r="H580" s="1349"/>
      <c r="I580" s="1349"/>
      <c r="J580" s="1349"/>
      <c r="K580" s="1349"/>
      <c r="L580" s="1349"/>
      <c r="M580" s="1349"/>
      <c r="N580" s="1349"/>
      <c r="O580" s="1349"/>
      <c r="P580" s="1349"/>
      <c r="Q580" s="1349"/>
      <c r="R580" s="1349"/>
      <c r="T580" s="22"/>
      <c r="U580" t="s">
        <v>17</v>
      </c>
      <c r="Z580" s="1349" t="str">
        <f>+AA314</f>
        <v>Matt Grosz</v>
      </c>
      <c r="AA580" s="1349"/>
      <c r="AB580" s="1349"/>
      <c r="AC580" s="1349"/>
      <c r="AD580" s="1349"/>
      <c r="AE580" s="1349"/>
      <c r="AF580" s="1349"/>
      <c r="AG580" s="1349"/>
      <c r="AH580" s="1349"/>
      <c r="AI580" s="1349"/>
      <c r="AJ580" s="1349"/>
      <c r="AK580" s="1349"/>
      <c r="BB580" s="3"/>
      <c r="BC580" s="3"/>
    </row>
    <row r="581" spans="1:55" ht="12.95" customHeight="1">
      <c r="A581" s="22"/>
      <c r="B581" t="s">
        <v>316</v>
      </c>
      <c r="G581" s="1347" t="s">
        <v>2629</v>
      </c>
      <c r="H581" s="1347"/>
      <c r="I581" s="1347"/>
      <c r="J581" s="1347"/>
      <c r="K581" s="1347"/>
      <c r="L581" s="1347"/>
      <c r="O581" s="33" t="s">
        <v>206</v>
      </c>
      <c r="P581" s="1437"/>
      <c r="Q581" s="1437"/>
      <c r="R581" s="1437"/>
      <c r="T581" s="22"/>
      <c r="U581" t="s">
        <v>316</v>
      </c>
      <c r="Z581" s="1347" t="str">
        <f>+AA315</f>
        <v>858-752-2066</v>
      </c>
      <c r="AA581" s="1347"/>
      <c r="AB581" s="1347"/>
      <c r="AC581" s="1347"/>
      <c r="AD581" s="1347"/>
      <c r="AE581" s="1347"/>
      <c r="AH581" s="33" t="s">
        <v>206</v>
      </c>
      <c r="AI581" s="1437"/>
      <c r="AJ581" s="1437"/>
      <c r="AK581" s="1437"/>
      <c r="BB581" s="3"/>
      <c r="BC581" s="3"/>
    </row>
    <row r="582" spans="1:55" ht="12.95" customHeight="1">
      <c r="A582" s="22"/>
      <c r="B582" t="s">
        <v>18</v>
      </c>
      <c r="H582" s="1417" t="s">
        <v>2633</v>
      </c>
      <c r="I582" s="1372"/>
      <c r="J582" s="1372"/>
      <c r="K582" s="1372"/>
      <c r="L582" s="1372"/>
      <c r="M582" s="1372"/>
      <c r="N582" s="1372"/>
      <c r="O582" s="1372"/>
      <c r="P582" s="1372"/>
      <c r="Q582" s="1372"/>
      <c r="R582" s="1372"/>
      <c r="T582" s="22"/>
      <c r="U582" t="s">
        <v>18</v>
      </c>
      <c r="AA582" s="1417" t="s">
        <v>2722</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9">
        <f>C558</f>
        <v>0</v>
      </c>
      <c r="H585" s="1359"/>
      <c r="I585" s="1359"/>
      <c r="J585" s="1359"/>
      <c r="K585" s="1359"/>
      <c r="L585" s="1359"/>
      <c r="M585" s="1359"/>
      <c r="N585" s="1359"/>
      <c r="O585" s="1359"/>
      <c r="P585" s="1359"/>
      <c r="Q585" s="1359"/>
      <c r="R585" s="1359"/>
      <c r="T585" s="55" t="s">
        <v>585</v>
      </c>
      <c r="U585" t="s">
        <v>464</v>
      </c>
      <c r="Z585" s="1359">
        <f>C559</f>
        <v>0</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c r="H586" s="1372"/>
      <c r="I586" s="1372"/>
      <c r="J586" s="1372"/>
      <c r="K586" s="1372"/>
      <c r="L586" s="1372"/>
      <c r="M586" s="1372"/>
      <c r="N586" s="1372"/>
      <c r="O586" s="1372"/>
      <c r="P586" s="1372"/>
      <c r="Q586" s="1372"/>
      <c r="R586" s="1372"/>
      <c r="T586" s="22"/>
      <c r="U586" t="s">
        <v>85</v>
      </c>
      <c r="Z586" s="1372"/>
      <c r="AA586" s="1372"/>
      <c r="AB586" s="1372"/>
      <c r="AC586" s="1372"/>
      <c r="AD586" s="1372"/>
      <c r="AE586" s="1372"/>
      <c r="AF586" s="1372"/>
      <c r="AG586" s="1372"/>
      <c r="AH586" s="1372"/>
      <c r="AI586" s="1372"/>
      <c r="AJ586" s="1372"/>
      <c r="AK586" s="1372"/>
      <c r="BB586" s="3"/>
      <c r="BC586" s="3"/>
    </row>
    <row r="587" spans="1:55" ht="12.95" customHeight="1">
      <c r="A587" s="22"/>
      <c r="B587" t="s">
        <v>581</v>
      </c>
      <c r="G587" s="1372"/>
      <c r="H587" s="1372"/>
      <c r="I587" s="1372"/>
      <c r="J587" s="1372"/>
      <c r="K587" s="1372"/>
      <c r="L587" s="1372"/>
      <c r="M587" s="1372"/>
      <c r="N587" s="1372"/>
      <c r="O587" s="1372"/>
      <c r="P587" s="1372"/>
      <c r="Q587" s="1372"/>
      <c r="R587" s="1372"/>
      <c r="T587" s="22"/>
      <c r="U587" t="s">
        <v>581</v>
      </c>
      <c r="Z587" s="1349"/>
      <c r="AA587" s="1349"/>
      <c r="AB587" s="1349"/>
      <c r="AC587" s="1349"/>
      <c r="AD587" s="1349"/>
      <c r="AE587" s="1349"/>
      <c r="AF587" s="1349"/>
      <c r="AG587" s="1349"/>
      <c r="AH587" s="1349"/>
      <c r="AI587" s="1349"/>
      <c r="AJ587" s="1349"/>
      <c r="AK587" s="1349"/>
      <c r="BB587" s="3"/>
      <c r="BC587" s="3"/>
    </row>
    <row r="588" spans="1:55" ht="12.95" customHeight="1">
      <c r="A588" s="22"/>
      <c r="B588" t="s">
        <v>17</v>
      </c>
      <c r="G588" s="1372"/>
      <c r="H588" s="1372"/>
      <c r="I588" s="1372"/>
      <c r="J588" s="1372"/>
      <c r="K588" s="1372"/>
      <c r="L588" s="1372"/>
      <c r="M588" s="1372"/>
      <c r="N588" s="1372"/>
      <c r="O588" s="1372"/>
      <c r="P588" s="1372"/>
      <c r="Q588" s="1372"/>
      <c r="R588" s="1372"/>
      <c r="T588" s="22"/>
      <c r="U588" t="s">
        <v>17</v>
      </c>
      <c r="Z588" s="1349"/>
      <c r="AA588" s="1349"/>
      <c r="AB588" s="1349"/>
      <c r="AC588" s="1349"/>
      <c r="AD588" s="1349"/>
      <c r="AE588" s="1349"/>
      <c r="AF588" s="1349"/>
      <c r="AG588" s="1349"/>
      <c r="AH588" s="1349"/>
      <c r="AI588" s="1349"/>
      <c r="AJ588" s="1349"/>
      <c r="AK588" s="1349"/>
    </row>
    <row r="589" spans="1:55" ht="12.95" customHeight="1">
      <c r="A589" s="22"/>
      <c r="B589" t="s">
        <v>316</v>
      </c>
      <c r="G589" s="1347"/>
      <c r="H589" s="1347"/>
      <c r="I589" s="1347"/>
      <c r="J589" s="1347"/>
      <c r="K589" s="1347"/>
      <c r="L589" s="1347"/>
      <c r="O589" s="33" t="s">
        <v>206</v>
      </c>
      <c r="P589" s="1437"/>
      <c r="Q589" s="1437"/>
      <c r="R589" s="1437"/>
      <c r="T589" s="22"/>
      <c r="U589" t="s">
        <v>316</v>
      </c>
      <c r="Z589" s="1347"/>
      <c r="AA589" s="1347"/>
      <c r="AB589" s="1347"/>
      <c r="AC589" s="1347"/>
      <c r="AD589" s="1347"/>
      <c r="AE589" s="1347"/>
      <c r="AH589" s="33" t="s">
        <v>206</v>
      </c>
      <c r="AI589" s="1437"/>
      <c r="AJ589" s="1437"/>
      <c r="AK589" s="1437"/>
      <c r="AZ589" s="3"/>
      <c r="BA589" s="3"/>
      <c r="BB589" s="3"/>
      <c r="BC589" s="3"/>
    </row>
    <row r="590" spans="1:55" ht="12.95" customHeight="1">
      <c r="A590" s="22"/>
      <c r="B590" t="s">
        <v>18</v>
      </c>
      <c r="H590" s="1372"/>
      <c r="I590" s="1372"/>
      <c r="J590" s="1372"/>
      <c r="K590" s="1372"/>
      <c r="L590" s="1372"/>
      <c r="M590" s="1372"/>
      <c r="N590" s="1372"/>
      <c r="O590" s="1372"/>
      <c r="P590" s="1372"/>
      <c r="Q590" s="1372"/>
      <c r="R590" s="1372"/>
      <c r="T590" s="22"/>
      <c r="U590" t="s">
        <v>18</v>
      </c>
      <c r="AA590" s="1372"/>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670</v>
      </c>
      <c r="O591" s="1332"/>
      <c r="T591" s="22"/>
      <c r="U591" t="s">
        <v>20</v>
      </c>
      <c r="AG591" s="1332" t="s">
        <v>670</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f>C560</f>
        <v>0</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7"/>
      <c r="H597" s="1347"/>
      <c r="I597" s="1347"/>
      <c r="J597" s="1347"/>
      <c r="K597" s="1347"/>
      <c r="L597" s="1347"/>
      <c r="M597"/>
      <c r="N597"/>
      <c r="O597" s="33" t="s">
        <v>206</v>
      </c>
      <c r="P597" s="1437"/>
      <c r="Q597" s="1437"/>
      <c r="R597" s="1437"/>
      <c r="S597"/>
      <c r="T597" s="22"/>
      <c r="U597" t="s">
        <v>316</v>
      </c>
      <c r="V597"/>
      <c r="W597"/>
      <c r="X597"/>
      <c r="Y597"/>
      <c r="Z597" s="1347"/>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670</v>
      </c>
      <c r="O599" s="1332"/>
      <c r="T599" s="22"/>
      <c r="U599" t="s">
        <v>20</v>
      </c>
      <c r="AG599" s="1332" t="s">
        <v>670</v>
      </c>
      <c r="AH599" s="1332"/>
      <c r="BB599" s="3"/>
      <c r="BC599" s="3"/>
    </row>
    <row r="600" spans="1:55" ht="12.95" customHeight="1">
      <c r="A600" s="22"/>
      <c r="T600" s="22"/>
      <c r="BB600" s="3"/>
      <c r="BC600" s="3"/>
    </row>
    <row r="601" spans="1:55" ht="12.95"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7"/>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2"/>
      <c r="C623" s="2"/>
      <c r="AU623" s="3"/>
      <c r="AZ623" s="3"/>
      <c r="BA623" s="3"/>
      <c r="BB623" s="3"/>
      <c r="BC623" s="3"/>
    </row>
    <row r="624" spans="1:55" ht="12.95" customHeight="1">
      <c r="B624" s="1701" t="s">
        <v>2103</v>
      </c>
      <c r="C624" s="1701"/>
      <c r="D624" s="1701"/>
      <c r="E624" s="1701"/>
      <c r="F624" s="1701"/>
      <c r="G624" s="1701"/>
      <c r="H624" s="1701"/>
      <c r="I624" s="1701"/>
      <c r="J624" s="1701"/>
      <c r="K624" s="1701"/>
      <c r="L624" s="1701"/>
      <c r="M624" s="1442" t="s">
        <v>2104</v>
      </c>
      <c r="N624" s="1442"/>
      <c r="O624" s="1442"/>
      <c r="P624" s="1442"/>
      <c r="Q624" s="1442" t="s">
        <v>1853</v>
      </c>
      <c r="R624" s="1442"/>
      <c r="S624" s="1442"/>
      <c r="T624" s="1442" t="s">
        <v>1851</v>
      </c>
      <c r="U624" s="1442"/>
      <c r="V624" s="1442"/>
      <c r="W624" s="1702" t="s">
        <v>454</v>
      </c>
      <c r="X624" s="1702"/>
      <c r="Y624" s="1702"/>
      <c r="Z624" s="1431" t="s">
        <v>2133</v>
      </c>
      <c r="AA624" s="1431"/>
      <c r="AB624" s="1432"/>
      <c r="AC624" s="1682" t="s">
        <v>1677</v>
      </c>
      <c r="AD624" s="1683"/>
      <c r="AE624" s="1684"/>
      <c r="AF624" s="1672" t="s">
        <v>1931</v>
      </c>
      <c r="AG624" s="1431"/>
      <c r="AH624" s="1431"/>
      <c r="AI624" s="1431"/>
      <c r="AJ624" s="1432"/>
      <c r="AK624" s="1735" t="s">
        <v>1932</v>
      </c>
      <c r="AL624" s="1736"/>
      <c r="AM624" s="1736"/>
      <c r="AN624" s="1737"/>
      <c r="AO624" s="1442" t="s">
        <v>455</v>
      </c>
      <c r="AP624" s="1442"/>
      <c r="AQ624" s="1442"/>
      <c r="AR624" s="1442"/>
      <c r="AS624" s="1442"/>
      <c r="AU624" s="3"/>
      <c r="AZ624" s="3"/>
      <c r="BA624" s="3"/>
      <c r="BB624" s="3"/>
      <c r="BC624" s="3"/>
    </row>
    <row r="625" spans="2:157" ht="12.95" customHeight="1">
      <c r="B625" s="1701"/>
      <c r="C625" s="1701"/>
      <c r="D625" s="1701"/>
      <c r="E625" s="1701"/>
      <c r="F625" s="1701"/>
      <c r="G625" s="1701"/>
      <c r="H625" s="1701"/>
      <c r="I625" s="1701"/>
      <c r="J625" s="1701"/>
      <c r="K625" s="1701"/>
      <c r="L625" s="1701"/>
      <c r="M625" s="1442"/>
      <c r="N625" s="1442"/>
      <c r="O625" s="1442"/>
      <c r="P625" s="1442"/>
      <c r="Q625" s="1442"/>
      <c r="R625" s="1442"/>
      <c r="S625" s="1442"/>
      <c r="T625" s="1442"/>
      <c r="U625" s="1442"/>
      <c r="V625" s="1442"/>
      <c r="W625" s="1702"/>
      <c r="X625" s="1702"/>
      <c r="Y625" s="1702"/>
      <c r="Z625" s="1433"/>
      <c r="AA625" s="1433"/>
      <c r="AB625" s="1434"/>
      <c r="AC625" s="1685"/>
      <c r="AD625" s="1686"/>
      <c r="AE625" s="1687"/>
      <c r="AF625" s="1673"/>
      <c r="AG625" s="1433"/>
      <c r="AH625" s="1433"/>
      <c r="AI625" s="1433"/>
      <c r="AJ625" s="1434"/>
      <c r="AK625" s="1738"/>
      <c r="AL625" s="1739"/>
      <c r="AM625" s="1739"/>
      <c r="AN625" s="1740"/>
      <c r="AO625" s="1442"/>
      <c r="AP625" s="1442"/>
      <c r="AQ625" s="1442"/>
      <c r="AR625" s="1442"/>
      <c r="AS625" s="1442"/>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2"/>
      <c r="N626" s="1442"/>
      <c r="O626" s="1442"/>
      <c r="P626" s="1442"/>
      <c r="Q626" s="1442"/>
      <c r="R626" s="1442"/>
      <c r="S626" s="1442"/>
      <c r="T626" s="1442"/>
      <c r="U626" s="1442"/>
      <c r="V626" s="1442"/>
      <c r="W626" s="1702"/>
      <c r="X626" s="1702"/>
      <c r="Y626" s="1702"/>
      <c r="Z626" s="1435"/>
      <c r="AA626" s="1435"/>
      <c r="AB626" s="1436"/>
      <c r="AC626" s="1688"/>
      <c r="AD626" s="1689"/>
      <c r="AE626" s="1690"/>
      <c r="AF626" s="1674"/>
      <c r="AG626" s="1435"/>
      <c r="AH626" s="1435"/>
      <c r="AI626" s="1435"/>
      <c r="AJ626" s="1436"/>
      <c r="AK626" s="1741"/>
      <c r="AL626" s="1742"/>
      <c r="AM626" s="1742"/>
      <c r="AN626" s="1743"/>
      <c r="AO626" s="1442"/>
      <c r="AP626" s="1442"/>
      <c r="AQ626" s="1442"/>
      <c r="AR626" s="1442"/>
      <c r="AS626" s="1442"/>
      <c r="AT626" s="3"/>
      <c r="AU626" s="3"/>
      <c r="AZ626" s="3"/>
      <c r="BA626" s="3"/>
      <c r="BB626" s="3"/>
      <c r="BC626" s="3"/>
      <c r="BD626" s="3"/>
    </row>
    <row r="627" spans="2:157" ht="12.95" customHeight="1">
      <c r="B627" s="51" t="s">
        <v>112</v>
      </c>
      <c r="C627" s="1692" t="s">
        <v>2620</v>
      </c>
      <c r="D627" s="1692"/>
      <c r="E627" s="1692"/>
      <c r="F627" s="1692"/>
      <c r="G627" s="1692"/>
      <c r="H627" s="1692"/>
      <c r="I627" s="1692"/>
      <c r="J627" s="1692"/>
      <c r="K627" s="1692"/>
      <c r="L627" s="1692"/>
      <c r="M627" s="1618" t="s">
        <v>2120</v>
      </c>
      <c r="N627" s="1618"/>
      <c r="O627" s="1618"/>
      <c r="P627" s="1618"/>
      <c r="Q627" s="1426">
        <f>15*12</f>
        <v>180</v>
      </c>
      <c r="R627" s="1426"/>
      <c r="S627" s="1427"/>
      <c r="T627" s="1425">
        <f>35*12</f>
        <v>420</v>
      </c>
      <c r="U627" s="1426"/>
      <c r="V627" s="1427"/>
      <c r="W627" s="1438">
        <v>6.6500000000000004E-2</v>
      </c>
      <c r="X627" s="1439"/>
      <c r="Y627" s="1440"/>
      <c r="Z627" s="1479" t="s">
        <v>2132</v>
      </c>
      <c r="AA627" s="1480"/>
      <c r="AB627" s="1481"/>
      <c r="AC627" s="1446">
        <v>1</v>
      </c>
      <c r="AD627" s="1447"/>
      <c r="AE627" s="1448"/>
      <c r="AF627" s="1476">
        <v>403720</v>
      </c>
      <c r="AG627" s="1477"/>
      <c r="AH627" s="1477"/>
      <c r="AI627" s="1477"/>
      <c r="AJ627" s="1478"/>
      <c r="AK627" s="1428"/>
      <c r="AL627" s="1429"/>
      <c r="AM627" s="1429"/>
      <c r="AN627" s="1430"/>
      <c r="AO627" s="1482">
        <v>5475000</v>
      </c>
      <c r="AP627" s="1482"/>
      <c r="AQ627" s="1482"/>
      <c r="AR627" s="1482"/>
      <c r="AS627" s="1482"/>
      <c r="AT627" s="3"/>
      <c r="AU627" s="3"/>
      <c r="AZ627" s="3"/>
      <c r="BA627" s="3"/>
      <c r="BB627" s="3"/>
      <c r="BC627" s="3"/>
      <c r="BD627" s="3"/>
    </row>
    <row r="628" spans="2:157" ht="12.95" customHeight="1">
      <c r="B628" s="52" t="s">
        <v>113</v>
      </c>
      <c r="C628" s="1692" t="s">
        <v>2721</v>
      </c>
      <c r="D628" s="1692"/>
      <c r="E628" s="1692"/>
      <c r="F628" s="1692"/>
      <c r="G628" s="1692"/>
      <c r="H628" s="1692"/>
      <c r="I628" s="1692"/>
      <c r="J628" s="1692"/>
      <c r="K628" s="1692"/>
      <c r="L628" s="1692"/>
      <c r="M628" s="1618" t="s">
        <v>2107</v>
      </c>
      <c r="N628" s="1618"/>
      <c r="O628" s="1618"/>
      <c r="P628" s="1618"/>
      <c r="Q628" s="1425">
        <f>13*12</f>
        <v>156</v>
      </c>
      <c r="R628" s="1426"/>
      <c r="S628" s="1427"/>
      <c r="T628" s="1425"/>
      <c r="U628" s="1426"/>
      <c r="V628" s="1427"/>
      <c r="W628" s="1438"/>
      <c r="X628" s="1439"/>
      <c r="Y628" s="1440"/>
      <c r="Z628" s="1479" t="s">
        <v>1185</v>
      </c>
      <c r="AA628" s="1480"/>
      <c r="AB628" s="1481"/>
      <c r="AC628" s="1446"/>
      <c r="AD628" s="1447"/>
      <c r="AE628" s="1448"/>
      <c r="AF628" s="1476"/>
      <c r="AG628" s="1477"/>
      <c r="AH628" s="1477"/>
      <c r="AI628" s="1477"/>
      <c r="AJ628" s="1478"/>
      <c r="AK628" s="1428"/>
      <c r="AL628" s="1429"/>
      <c r="AM628" s="1429"/>
      <c r="AN628" s="1430"/>
      <c r="AO628" s="1467">
        <v>1519607</v>
      </c>
      <c r="AP628" s="1468"/>
      <c r="AQ628" s="1468"/>
      <c r="AR628" s="1468"/>
      <c r="AS628" s="1469"/>
      <c r="AT628" s="1148" t="str">
        <f>IF(AND(NOT(C627=""),C628="",NOT(C629="")),"!","")</f>
        <v/>
      </c>
      <c r="AU628" s="3"/>
      <c r="AZ628" s="3"/>
      <c r="BA628" s="3"/>
      <c r="BB628" s="3"/>
      <c r="BC628" s="3"/>
      <c r="BD628" s="3"/>
    </row>
    <row r="629" spans="2:157" ht="12.95" customHeight="1">
      <c r="B629" s="52" t="s">
        <v>119</v>
      </c>
      <c r="C629" s="1692"/>
      <c r="D629" s="1692"/>
      <c r="E629" s="1692"/>
      <c r="F629" s="1692"/>
      <c r="G629" s="1692"/>
      <c r="H629" s="1692"/>
      <c r="I629" s="1692"/>
      <c r="J629" s="1692"/>
      <c r="K629" s="1692"/>
      <c r="L629" s="1692"/>
      <c r="M629" s="1618" t="s">
        <v>1185</v>
      </c>
      <c r="N629" s="1618"/>
      <c r="O629" s="1618"/>
      <c r="P629" s="1618"/>
      <c r="Q629" s="1425"/>
      <c r="R629" s="1426"/>
      <c r="S629" s="1427"/>
      <c r="T629" s="1425"/>
      <c r="U629" s="1426"/>
      <c r="V629" s="1427"/>
      <c r="W629" s="1438"/>
      <c r="X629" s="1439"/>
      <c r="Y629" s="1440"/>
      <c r="Z629" s="1479" t="s">
        <v>1185</v>
      </c>
      <c r="AA629" s="1480"/>
      <c r="AB629" s="1481"/>
      <c r="AC629" s="1446"/>
      <c r="AD629" s="1447"/>
      <c r="AE629" s="1448"/>
      <c r="AF629" s="1476"/>
      <c r="AG629" s="1477"/>
      <c r="AH629" s="1477"/>
      <c r="AI629" s="1477"/>
      <c r="AJ629" s="1478"/>
      <c r="AK629" s="1428"/>
      <c r="AL629" s="1429"/>
      <c r="AM629" s="1429"/>
      <c r="AN629" s="1430"/>
      <c r="AO629" s="1467"/>
      <c r="AP629" s="1468"/>
      <c r="AQ629" s="1468"/>
      <c r="AR629" s="1468"/>
      <c r="AS629" s="1469"/>
      <c r="AT629" s="1148" t="str">
        <f t="shared" ref="AT629:AT638" si="1">IF(AND(NOT(C628=""),C629="",NOT(C630="")),"!","")</f>
        <v/>
      </c>
      <c r="AU629" s="3"/>
      <c r="AZ629" s="3"/>
      <c r="BA629" s="3"/>
      <c r="BB629" s="3"/>
      <c r="BC629" s="3"/>
      <c r="BD629" s="3"/>
    </row>
    <row r="630" spans="2:157" ht="12.95" customHeight="1">
      <c r="B630" s="52" t="s">
        <v>582</v>
      </c>
      <c r="C630" s="1348"/>
      <c r="D630" s="1348"/>
      <c r="E630" s="1348"/>
      <c r="F630" s="1348"/>
      <c r="G630" s="1348"/>
      <c r="H630" s="1348"/>
      <c r="I630" s="1348"/>
      <c r="J630" s="1348"/>
      <c r="K630" s="1348"/>
      <c r="L630" s="1348"/>
      <c r="M630" s="1618" t="s">
        <v>1185</v>
      </c>
      <c r="N630" s="1618"/>
      <c r="O630" s="1618"/>
      <c r="P630" s="1618"/>
      <c r="Q630" s="1425"/>
      <c r="R630" s="1426"/>
      <c r="S630" s="1427"/>
      <c r="T630" s="1425"/>
      <c r="U630" s="1426"/>
      <c r="V630" s="1427"/>
      <c r="W630" s="1438"/>
      <c r="X630" s="1439"/>
      <c r="Y630" s="1440"/>
      <c r="Z630" s="1479" t="s">
        <v>1185</v>
      </c>
      <c r="AA630" s="1480"/>
      <c r="AB630" s="1481"/>
      <c r="AC630" s="1446"/>
      <c r="AD630" s="1447"/>
      <c r="AE630" s="1448"/>
      <c r="AF630" s="1476"/>
      <c r="AG630" s="1477"/>
      <c r="AH630" s="1477"/>
      <c r="AI630" s="1477"/>
      <c r="AJ630" s="1478"/>
      <c r="AK630" s="1428"/>
      <c r="AL630" s="1429"/>
      <c r="AM630" s="1429"/>
      <c r="AN630" s="1430"/>
      <c r="AO630" s="1467"/>
      <c r="AP630" s="1468"/>
      <c r="AQ630" s="1468"/>
      <c r="AR630" s="1468"/>
      <c r="AS630" s="1469"/>
      <c r="AT630" s="1148" t="str">
        <f t="shared" si="1"/>
        <v/>
      </c>
      <c r="AU630" s="3"/>
      <c r="AZ630" s="3"/>
      <c r="BA630" s="3"/>
      <c r="BB630" s="3"/>
      <c r="BC630" s="3"/>
      <c r="BD630" s="3"/>
    </row>
    <row r="631" spans="2:157" ht="12.95" customHeight="1">
      <c r="B631" s="52" t="s">
        <v>764</v>
      </c>
      <c r="C631" s="1348"/>
      <c r="D631" s="1348"/>
      <c r="E631" s="1348"/>
      <c r="F631" s="1348"/>
      <c r="G631" s="1348"/>
      <c r="H631" s="1348"/>
      <c r="I631" s="1348"/>
      <c r="J631" s="1348"/>
      <c r="K631" s="1348"/>
      <c r="L631" s="1348"/>
      <c r="M631" s="1618" t="s">
        <v>1185</v>
      </c>
      <c r="N631" s="1618"/>
      <c r="O631" s="1618"/>
      <c r="P631" s="1618"/>
      <c r="Q631" s="1425"/>
      <c r="R631" s="1426"/>
      <c r="S631" s="1427"/>
      <c r="T631" s="1425"/>
      <c r="U631" s="1426"/>
      <c r="V631" s="1427"/>
      <c r="W631" s="1438"/>
      <c r="X631" s="1439"/>
      <c r="Y631" s="1440"/>
      <c r="Z631" s="1479" t="s">
        <v>1185</v>
      </c>
      <c r="AA631" s="1480"/>
      <c r="AB631" s="1481"/>
      <c r="AC631" s="1446"/>
      <c r="AD631" s="1447"/>
      <c r="AE631" s="1448"/>
      <c r="AF631" s="1476"/>
      <c r="AG631" s="1477"/>
      <c r="AH631" s="1477"/>
      <c r="AI631" s="1477"/>
      <c r="AJ631" s="1478"/>
      <c r="AK631" s="1428"/>
      <c r="AL631" s="1429"/>
      <c r="AM631" s="1429"/>
      <c r="AN631" s="1430"/>
      <c r="AO631" s="1467"/>
      <c r="AP631" s="1468"/>
      <c r="AQ631" s="1468"/>
      <c r="AR631" s="1468"/>
      <c r="AS631" s="1469"/>
      <c r="AT631" s="1148" t="str">
        <f t="shared" si="1"/>
        <v/>
      </c>
      <c r="AU631" s="3"/>
      <c r="AZ631" s="3"/>
      <c r="BA631" s="3"/>
      <c r="BB631" s="3"/>
      <c r="BC631" s="3"/>
      <c r="BD631" s="3"/>
    </row>
    <row r="632" spans="2:157" ht="12.95" customHeight="1">
      <c r="B632" s="52" t="s">
        <v>585</v>
      </c>
      <c r="C632" s="1348"/>
      <c r="D632" s="1348"/>
      <c r="E632" s="1348"/>
      <c r="F632" s="1348"/>
      <c r="G632" s="1348"/>
      <c r="H632" s="1348"/>
      <c r="I632" s="1348"/>
      <c r="J632" s="1348"/>
      <c r="K632" s="1348"/>
      <c r="L632" s="1348"/>
      <c r="M632" s="1618" t="s">
        <v>1185</v>
      </c>
      <c r="N632" s="1618"/>
      <c r="O632" s="1618"/>
      <c r="P632" s="1618"/>
      <c r="Q632" s="1425"/>
      <c r="R632" s="1426"/>
      <c r="S632" s="1427"/>
      <c r="T632" s="1425"/>
      <c r="U632" s="1426"/>
      <c r="V632" s="1427"/>
      <c r="W632" s="1438"/>
      <c r="X632" s="1439"/>
      <c r="Y632" s="1440"/>
      <c r="Z632" s="1479" t="s">
        <v>1185</v>
      </c>
      <c r="AA632" s="1480"/>
      <c r="AB632" s="1481"/>
      <c r="AC632" s="1446"/>
      <c r="AD632" s="1447"/>
      <c r="AE632" s="1448"/>
      <c r="AF632" s="1476"/>
      <c r="AG632" s="1477"/>
      <c r="AH632" s="1477"/>
      <c r="AI632" s="1477"/>
      <c r="AJ632" s="1478"/>
      <c r="AK632" s="1428"/>
      <c r="AL632" s="1429"/>
      <c r="AM632" s="1429"/>
      <c r="AN632" s="1430"/>
      <c r="AO632" s="1467"/>
      <c r="AP632" s="1468"/>
      <c r="AQ632" s="1468"/>
      <c r="AR632" s="1468"/>
      <c r="AS632" s="1469"/>
      <c r="AT632" s="1148" t="str">
        <f t="shared" si="1"/>
        <v/>
      </c>
      <c r="AU632" s="3"/>
      <c r="AZ632" s="3"/>
      <c r="BA632" s="3"/>
      <c r="BB632" s="3"/>
      <c r="BC632" s="3"/>
      <c r="BD632" s="3"/>
    </row>
    <row r="633" spans="2:157" ht="12.95" customHeight="1">
      <c r="B633" s="52" t="s">
        <v>456</v>
      </c>
      <c r="C633" s="1348"/>
      <c r="D633" s="1348"/>
      <c r="E633" s="1348"/>
      <c r="F633" s="1348"/>
      <c r="G633" s="1348"/>
      <c r="H633" s="1348"/>
      <c r="I633" s="1348"/>
      <c r="J633" s="1348"/>
      <c r="K633" s="1348"/>
      <c r="L633" s="1348"/>
      <c r="M633" s="1618" t="s">
        <v>1185</v>
      </c>
      <c r="N633" s="1618"/>
      <c r="O633" s="1618"/>
      <c r="P633" s="1618"/>
      <c r="Q633" s="1425"/>
      <c r="R633" s="1426"/>
      <c r="S633" s="1427"/>
      <c r="T633" s="1425"/>
      <c r="U633" s="1426"/>
      <c r="V633" s="1427"/>
      <c r="W633" s="1438"/>
      <c r="X633" s="1439"/>
      <c r="Y633" s="1440"/>
      <c r="Z633" s="1479" t="s">
        <v>1185</v>
      </c>
      <c r="AA633" s="1480"/>
      <c r="AB633" s="1481"/>
      <c r="AC633" s="1446"/>
      <c r="AD633" s="1447"/>
      <c r="AE633" s="1448"/>
      <c r="AF633" s="1476"/>
      <c r="AG633" s="1477"/>
      <c r="AH633" s="1477"/>
      <c r="AI633" s="1477"/>
      <c r="AJ633" s="1478"/>
      <c r="AK633" s="1428"/>
      <c r="AL633" s="1429"/>
      <c r="AM633" s="1429"/>
      <c r="AN633" s="1430"/>
      <c r="AO633" s="1467"/>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457</v>
      </c>
      <c r="C634" s="1348"/>
      <c r="D634" s="1348"/>
      <c r="E634" s="1348"/>
      <c r="F634" s="1348"/>
      <c r="G634" s="1348"/>
      <c r="H634" s="1348"/>
      <c r="I634" s="1348"/>
      <c r="J634" s="1348"/>
      <c r="K634" s="1348"/>
      <c r="L634" s="1348"/>
      <c r="M634" s="1618" t="s">
        <v>1185</v>
      </c>
      <c r="N634" s="1618"/>
      <c r="O634" s="1618"/>
      <c r="P634" s="1618"/>
      <c r="Q634" s="1425"/>
      <c r="R634" s="1426"/>
      <c r="S634" s="1427"/>
      <c r="T634" s="1425"/>
      <c r="U634" s="1426"/>
      <c r="V634" s="1427"/>
      <c r="W634" s="1438"/>
      <c r="X634" s="1439"/>
      <c r="Y634" s="1440"/>
      <c r="Z634" s="1479" t="s">
        <v>1185</v>
      </c>
      <c r="AA634" s="1480"/>
      <c r="AB634" s="1481"/>
      <c r="AC634" s="1446"/>
      <c r="AD634" s="1447"/>
      <c r="AE634" s="1448"/>
      <c r="AF634" s="1476"/>
      <c r="AG634" s="1477"/>
      <c r="AH634" s="1477"/>
      <c r="AI634" s="1477"/>
      <c r="AJ634" s="1478"/>
      <c r="AK634" s="1428"/>
      <c r="AL634" s="1429"/>
      <c r="AM634" s="1429"/>
      <c r="AN634" s="1430"/>
      <c r="AO634" s="1467"/>
      <c r="AP634" s="1468"/>
      <c r="AQ634" s="1468"/>
      <c r="AR634" s="1468"/>
      <c r="AS634" s="1469"/>
      <c r="AT634" s="1148" t="str">
        <f t="shared" si="1"/>
        <v/>
      </c>
      <c r="AU634" s="3"/>
      <c r="AV634" s="3"/>
      <c r="AW634" s="3"/>
      <c r="AX634" s="3"/>
      <c r="AY634" s="3"/>
      <c r="AZ634" s="3"/>
      <c r="BA634" s="3" t="s">
        <v>1185</v>
      </c>
      <c r="BB634" s="3"/>
      <c r="BC634" s="3"/>
      <c r="BD634" s="3"/>
    </row>
    <row r="635" spans="2:157" ht="12.95" customHeight="1">
      <c r="B635" s="52" t="s">
        <v>462</v>
      </c>
      <c r="C635" s="1348"/>
      <c r="D635" s="1348"/>
      <c r="E635" s="1348"/>
      <c r="F635" s="1348"/>
      <c r="G635" s="1348"/>
      <c r="H635" s="1348"/>
      <c r="I635" s="1348"/>
      <c r="J635" s="1348"/>
      <c r="K635" s="1348"/>
      <c r="L635" s="1348"/>
      <c r="M635" s="1618" t="s">
        <v>1185</v>
      </c>
      <c r="N635" s="1618"/>
      <c r="O635" s="1618"/>
      <c r="P635" s="1618"/>
      <c r="Q635" s="1425"/>
      <c r="R635" s="1426"/>
      <c r="S635" s="1427"/>
      <c r="T635" s="1425"/>
      <c r="U635" s="1426"/>
      <c r="V635" s="1427"/>
      <c r="W635" s="1438"/>
      <c r="X635" s="1439"/>
      <c r="Y635" s="1440"/>
      <c r="Z635" s="1479" t="s">
        <v>1185</v>
      </c>
      <c r="AA635" s="1480"/>
      <c r="AB635" s="1481"/>
      <c r="AC635" s="1446"/>
      <c r="AD635" s="1447"/>
      <c r="AE635" s="1448"/>
      <c r="AF635" s="1476"/>
      <c r="AG635" s="1477"/>
      <c r="AH635" s="1477"/>
      <c r="AI635" s="1477"/>
      <c r="AJ635" s="1478"/>
      <c r="AK635" s="1428"/>
      <c r="AL635" s="1429"/>
      <c r="AM635" s="1429"/>
      <c r="AN635" s="1430"/>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t="e">
        <f t="shared" ref="EC635:EC669" si="3">FE718*(CU718/$CU$753)</f>
        <v>#VALUE!</v>
      </c>
      <c r="ED635" s="1445"/>
      <c r="EE635" s="1445"/>
      <c r="EF635" s="1445"/>
      <c r="EG635" s="1445"/>
      <c r="EH635" s="1445" t="e">
        <f t="shared" ref="EH635:EH669" si="4">FJ718*(CZ718/$CZ$753)</f>
        <v>#VALUE!</v>
      </c>
      <c r="EI635" s="1445"/>
      <c r="EJ635" s="1445"/>
      <c r="EK635" s="1445"/>
      <c r="EL635" s="1445"/>
      <c r="EM635" s="1445">
        <f t="shared" ref="EM635:EM669" si="5">FO718*(DE718/$DE$753)</f>
        <v>144.75</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8"/>
      <c r="D636" s="1348"/>
      <c r="E636" s="1348"/>
      <c r="F636" s="1348"/>
      <c r="G636" s="1348"/>
      <c r="H636" s="1348"/>
      <c r="I636" s="1348"/>
      <c r="J636" s="1348"/>
      <c r="K636" s="1348"/>
      <c r="L636" s="1348"/>
      <c r="M636" s="1618" t="s">
        <v>1185</v>
      </c>
      <c r="N636" s="1618"/>
      <c r="O636" s="1618"/>
      <c r="P636" s="1618"/>
      <c r="Q636" s="1425"/>
      <c r="R636" s="1426"/>
      <c r="S636" s="1427"/>
      <c r="T636" s="1425"/>
      <c r="U636" s="1426"/>
      <c r="V636" s="1427"/>
      <c r="W636" s="1438"/>
      <c r="X636" s="1439"/>
      <c r="Y636" s="1440"/>
      <c r="Z636" s="1479" t="s">
        <v>1185</v>
      </c>
      <c r="AA636" s="1480"/>
      <c r="AB636" s="1481"/>
      <c r="AC636" s="1446"/>
      <c r="AD636" s="1447"/>
      <c r="AE636" s="1448"/>
      <c r="AF636" s="1476"/>
      <c r="AG636" s="1477"/>
      <c r="AH636" s="1477"/>
      <c r="AI636" s="1477"/>
      <c r="AJ636" s="1478"/>
      <c r="AK636" s="1428"/>
      <c r="AL636" s="1429"/>
      <c r="AM636" s="1429"/>
      <c r="AN636" s="1430"/>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t="e">
        <f t="shared" si="3"/>
        <v>#VALUE!</v>
      </c>
      <c r="ED636" s="1445"/>
      <c r="EE636" s="1445"/>
      <c r="EF636" s="1445"/>
      <c r="EG636" s="1445"/>
      <c r="EH636" s="1445" t="e">
        <f t="shared" si="4"/>
        <v>#VALUE!</v>
      </c>
      <c r="EI636" s="1445"/>
      <c r="EJ636" s="1445"/>
      <c r="EK636" s="1445"/>
      <c r="EL636" s="1445"/>
      <c r="EM636" s="1445">
        <f t="shared" si="5"/>
        <v>243</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8"/>
      <c r="D637" s="1348"/>
      <c r="E637" s="1348"/>
      <c r="F637" s="1348"/>
      <c r="G637" s="1348"/>
      <c r="H637" s="1348"/>
      <c r="I637" s="1348"/>
      <c r="J637" s="1348"/>
      <c r="K637" s="1348"/>
      <c r="L637" s="1348"/>
      <c r="M637" s="1618" t="s">
        <v>1185</v>
      </c>
      <c r="N637" s="1618"/>
      <c r="O637" s="1618"/>
      <c r="P637" s="1618"/>
      <c r="Q637" s="1425"/>
      <c r="R637" s="1426"/>
      <c r="S637" s="1427"/>
      <c r="T637" s="1425"/>
      <c r="U637" s="1426"/>
      <c r="V637" s="1427"/>
      <c r="W637" s="1438"/>
      <c r="X637" s="1439"/>
      <c r="Y637" s="1440"/>
      <c r="Z637" s="1479" t="s">
        <v>1185</v>
      </c>
      <c r="AA637" s="1480"/>
      <c r="AB637" s="1481"/>
      <c r="AC637" s="1446"/>
      <c r="AD637" s="1447"/>
      <c r="AE637" s="1448"/>
      <c r="AF637" s="1476"/>
      <c r="AG637" s="1477"/>
      <c r="AH637" s="1477"/>
      <c r="AI637" s="1477"/>
      <c r="AJ637" s="1478"/>
      <c r="AK637" s="1428"/>
      <c r="AL637" s="1429"/>
      <c r="AM637" s="1429"/>
      <c r="AN637" s="1430"/>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t="e">
        <f t="shared" si="3"/>
        <v>#VALUE!</v>
      </c>
      <c r="ED637" s="1445"/>
      <c r="EE637" s="1445"/>
      <c r="EF637" s="1445"/>
      <c r="EG637" s="1445"/>
      <c r="EH637" s="1445" t="e">
        <f t="shared" si="4"/>
        <v>#VALUE!</v>
      </c>
      <c r="EI637" s="1445"/>
      <c r="EJ637" s="1445"/>
      <c r="EK637" s="1445"/>
      <c r="EL637" s="1445"/>
      <c r="EM637" s="1445">
        <f t="shared" si="5"/>
        <v>730.3125</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8"/>
      <c r="D638" s="1348"/>
      <c r="E638" s="1348"/>
      <c r="F638" s="1348"/>
      <c r="G638" s="1348"/>
      <c r="H638" s="1348"/>
      <c r="I638" s="1348"/>
      <c r="J638" s="1348"/>
      <c r="K638" s="1348"/>
      <c r="L638" s="1348"/>
      <c r="M638" s="1618" t="s">
        <v>1185</v>
      </c>
      <c r="N638" s="1618"/>
      <c r="O638" s="1618"/>
      <c r="P638" s="1618"/>
      <c r="Q638" s="1425"/>
      <c r="R638" s="1426"/>
      <c r="S638" s="1427"/>
      <c r="T638" s="1425"/>
      <c r="U638" s="1426"/>
      <c r="V638" s="1427"/>
      <c r="W638" s="1438"/>
      <c r="X638" s="1439"/>
      <c r="Y638" s="1440"/>
      <c r="Z638" s="1479" t="s">
        <v>1185</v>
      </c>
      <c r="AA638" s="1480"/>
      <c r="AB638" s="1481"/>
      <c r="AC638" s="1446"/>
      <c r="AD638" s="1447"/>
      <c r="AE638" s="1448"/>
      <c r="AF638" s="1476"/>
      <c r="AG638" s="1477"/>
      <c r="AH638" s="1477"/>
      <c r="AI638" s="1477"/>
      <c r="AJ638" s="1478"/>
      <c r="AK638" s="1428"/>
      <c r="AL638" s="1429"/>
      <c r="AM638" s="1429"/>
      <c r="AN638" s="1430"/>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t="e">
        <f t="shared" si="4"/>
        <v>#VALUE!</v>
      </c>
      <c r="EI638" s="1445"/>
      <c r="EJ638" s="1445"/>
      <c r="EK638" s="1445"/>
      <c r="EL638" s="1445"/>
      <c r="EM638" s="1445">
        <f t="shared" si="5"/>
        <v>1141.875</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6994607</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t="e">
        <f t="shared" si="4"/>
        <v>#VALUE!</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7">
        <v>19489583</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t="e">
        <f t="shared" si="4"/>
        <v>#VALUE!</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26484190</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t="e">
        <f t="shared" si="4"/>
        <v>#VALUE!</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9" t="str">
        <f>C627</f>
        <v>California Bank &amp; Trust</v>
      </c>
      <c r="H643" s="1359"/>
      <c r="I643" s="1359"/>
      <c r="J643" s="1359"/>
      <c r="K643" s="1359"/>
      <c r="L643" s="1359"/>
      <c r="M643" s="1359"/>
      <c r="N643" s="1359"/>
      <c r="O643" s="1359"/>
      <c r="P643" s="1359"/>
      <c r="Q643" s="1359"/>
      <c r="R643" s="1359"/>
      <c r="S643" s="8"/>
      <c r="T643" s="55" t="s">
        <v>113</v>
      </c>
      <c r="U643" t="s">
        <v>464</v>
      </c>
      <c r="Z643" s="1359" t="str">
        <f>C628</f>
        <v>Corporation for Better Housing - DDF</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2627</v>
      </c>
      <c r="H644" s="1372"/>
      <c r="I644" s="1372"/>
      <c r="J644" s="1372"/>
      <c r="K644" s="1372"/>
      <c r="L644" s="1372"/>
      <c r="M644" s="1372"/>
      <c r="N644" s="1372"/>
      <c r="O644" s="1372"/>
      <c r="P644" s="1372"/>
      <c r="Q644" s="1372"/>
      <c r="R644" s="1372"/>
      <c r="S644" s="8"/>
      <c r="T644" s="22"/>
      <c r="U644" t="s">
        <v>85</v>
      </c>
      <c r="Z644" s="1417" t="s">
        <v>2641</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581</v>
      </c>
      <c r="G645" s="1372" t="s">
        <v>2626</v>
      </c>
      <c r="H645" s="1372"/>
      <c r="I645" s="1372"/>
      <c r="J645" s="1372"/>
      <c r="K645" s="1372"/>
      <c r="L645" s="1372"/>
      <c r="M645" s="1372"/>
      <c r="N645" s="1372"/>
      <c r="O645" s="1372"/>
      <c r="P645" s="1372"/>
      <c r="Q645" s="1372"/>
      <c r="R645" s="1372"/>
      <c r="T645" s="22"/>
      <c r="U645" t="s">
        <v>581</v>
      </c>
      <c r="Z645" s="1458" t="s">
        <v>2642</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2628</v>
      </c>
      <c r="H646" s="1372"/>
      <c r="I646" s="1372"/>
      <c r="J646" s="1372"/>
      <c r="K646" s="1372"/>
      <c r="L646" s="1372"/>
      <c r="M646" s="1372"/>
      <c r="N646" s="1372"/>
      <c r="O646" s="1372"/>
      <c r="P646" s="1372"/>
      <c r="Q646" s="1372"/>
      <c r="R646" s="1372"/>
      <c r="S646" s="8"/>
      <c r="T646" s="22"/>
      <c r="U646" t="s">
        <v>17</v>
      </c>
      <c r="Z646" s="1458" t="s">
        <v>2644</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t="s">
        <v>2629</v>
      </c>
      <c r="H647" s="1347"/>
      <c r="I647" s="1347"/>
      <c r="J647" s="1347"/>
      <c r="K647" s="1347"/>
      <c r="L647" s="1347"/>
      <c r="O647" s="33" t="s">
        <v>206</v>
      </c>
      <c r="P647" s="1437"/>
      <c r="Q647" s="1437"/>
      <c r="R647" s="1437"/>
      <c r="S647" s="10"/>
      <c r="T647" s="22"/>
      <c r="U647" t="s">
        <v>316</v>
      </c>
      <c r="Z647" s="1346" t="s">
        <v>2645</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417" t="s">
        <v>2634</v>
      </c>
      <c r="I648" s="1372"/>
      <c r="J648" s="1372"/>
      <c r="K648" s="1372"/>
      <c r="L648" s="1372"/>
      <c r="M648" s="1372"/>
      <c r="N648" s="1372"/>
      <c r="O648" s="1372"/>
      <c r="P648" s="1372"/>
      <c r="Q648" s="1372"/>
      <c r="R648" s="1372"/>
      <c r="S648" s="8"/>
      <c r="T648" s="22"/>
      <c r="U648" t="s">
        <v>18</v>
      </c>
      <c r="AA648" s="1417" t="s">
        <v>2321</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9">
        <f>C629</f>
        <v>0</v>
      </c>
      <c r="H651" s="1359"/>
      <c r="I651" s="1359"/>
      <c r="J651" s="1359"/>
      <c r="K651" s="1359"/>
      <c r="L651" s="1359"/>
      <c r="M651" s="1359"/>
      <c r="N651" s="1359"/>
      <c r="O651" s="1359"/>
      <c r="P651" s="1359"/>
      <c r="Q651" s="1359"/>
      <c r="R651" s="1359"/>
      <c r="T651" s="55" t="s">
        <v>582</v>
      </c>
      <c r="U651" t="s">
        <v>464</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c r="H652" s="1372"/>
      <c r="I652" s="1372"/>
      <c r="J652" s="1372"/>
      <c r="K652" s="1372"/>
      <c r="L652" s="1372"/>
      <c r="M652" s="1372"/>
      <c r="N652" s="1372"/>
      <c r="O652" s="1372"/>
      <c r="P652" s="1372"/>
      <c r="Q652" s="1372"/>
      <c r="R652" s="1372"/>
      <c r="T652" s="22"/>
      <c r="U652" t="s">
        <v>85</v>
      </c>
      <c r="Z652" s="1372"/>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349"/>
      <c r="H653" s="1349"/>
      <c r="I653" s="1349"/>
      <c r="J653" s="1349"/>
      <c r="K653" s="1349"/>
      <c r="L653" s="1349"/>
      <c r="M653" s="1349"/>
      <c r="N653" s="1349"/>
      <c r="O653" s="1349"/>
      <c r="P653" s="1349"/>
      <c r="Q653" s="1349"/>
      <c r="R653" s="1349"/>
      <c r="T653" s="22"/>
      <c r="U653" t="s">
        <v>581</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7"/>
      <c r="H655" s="1347"/>
      <c r="I655" s="1347"/>
      <c r="J655" s="1347"/>
      <c r="K655" s="1347"/>
      <c r="L655" s="1347"/>
      <c r="O655" s="33" t="s">
        <v>206</v>
      </c>
      <c r="P655" s="1437"/>
      <c r="Q655" s="1437"/>
      <c r="R655" s="1437"/>
      <c r="T655" s="22"/>
      <c r="U655" t="s">
        <v>316</v>
      </c>
      <c r="Z655" s="1347"/>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670</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2"/>
      <c r="H661" s="1372"/>
      <c r="I661" s="1372"/>
      <c r="J661" s="1372"/>
      <c r="K661" s="1372"/>
      <c r="L661" s="1372"/>
      <c r="M661" s="1372"/>
      <c r="N661" s="1372"/>
      <c r="O661" s="1372"/>
      <c r="P661" s="1372"/>
      <c r="Q661" s="1372"/>
      <c r="R661" s="1372"/>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7"/>
      <c r="H663" s="1347"/>
      <c r="I663" s="1347"/>
      <c r="J663" s="1347"/>
      <c r="K663" s="1347"/>
      <c r="L663" s="1347"/>
      <c r="O663" s="33" t="s">
        <v>206</v>
      </c>
      <c r="P663" s="1437"/>
      <c r="Q663" s="1437"/>
      <c r="R663" s="1437"/>
      <c r="T663" s="22"/>
      <c r="U663" t="s">
        <v>316</v>
      </c>
      <c r="Z663" s="1347"/>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0</v>
      </c>
      <c r="ED670" s="1445"/>
      <c r="EE670" s="1445"/>
      <c r="EF670" s="1445"/>
      <c r="EG670" s="1445"/>
      <c r="EH670" s="1445">
        <f>SUMIF(EH635:EL669,"&gt;0")</f>
        <v>0</v>
      </c>
      <c r="EI670" s="1445"/>
      <c r="EJ670" s="1445"/>
      <c r="EK670" s="1445"/>
      <c r="EL670" s="1445"/>
      <c r="EM670" s="1445">
        <f>SUMIF(EM635:EQ669,"&gt;0")</f>
        <v>2259.9375</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7"/>
      <c r="H671" s="1347"/>
      <c r="I671" s="1347"/>
      <c r="J671" s="1347"/>
      <c r="K671" s="1347"/>
      <c r="L671" s="1347"/>
      <c r="O671" s="33" t="s">
        <v>206</v>
      </c>
      <c r="P671" s="1437"/>
      <c r="Q671" s="1437"/>
      <c r="R671" s="1437"/>
      <c r="T671" s="22"/>
      <c r="U671" t="s">
        <v>316</v>
      </c>
      <c r="Z671" s="1347"/>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670</v>
      </c>
      <c r="O673" s="1332"/>
      <c r="T673" s="22"/>
      <c r="U673" t="s">
        <v>20</v>
      </c>
      <c r="AG673" s="1332" t="s">
        <v>670</v>
      </c>
      <c r="AH673" s="1332"/>
      <c r="AZ673" s="3"/>
    </row>
    <row r="674" spans="1:52" ht="12.95" customHeight="1">
      <c r="A674" s="22"/>
      <c r="T674" s="22"/>
      <c r="AZ674" s="3"/>
    </row>
    <row r="675" spans="1:52" ht="12.95"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7"/>
      <c r="H679" s="1347"/>
      <c r="I679" s="1347"/>
      <c r="J679" s="1347"/>
      <c r="K679" s="1347"/>
      <c r="L679" s="1347"/>
      <c r="O679" s="33" t="s">
        <v>206</v>
      </c>
      <c r="P679" s="1437"/>
      <c r="Q679" s="1437"/>
      <c r="R679" s="1437"/>
      <c r="T679" s="22"/>
      <c r="U679" t="s">
        <v>316</v>
      </c>
      <c r="Z679" s="1347"/>
      <c r="AA679" s="1347"/>
      <c r="AB679" s="1347"/>
      <c r="AC679" s="1347"/>
      <c r="AD679" s="1347"/>
      <c r="AE679" s="1347"/>
      <c r="AH679" s="33" t="s">
        <v>206</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670</v>
      </c>
      <c r="O681" s="1332"/>
      <c r="T681" s="22"/>
      <c r="U681" t="s">
        <v>20</v>
      </c>
      <c r="AG681" s="1332" t="s">
        <v>670</v>
      </c>
      <c r="AH681" s="1332"/>
      <c r="AZ681" s="3"/>
    </row>
    <row r="682" spans="1:52" ht="12.95" customHeight="1">
      <c r="A682" s="22"/>
      <c r="T682" s="22"/>
      <c r="AZ682" s="3"/>
    </row>
    <row r="683" spans="1:52" ht="12.9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670</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670</v>
      </c>
      <c r="AF693" s="1332"/>
      <c r="AZ693" s="3"/>
    </row>
    <row r="694" spans="1:67" ht="12.95" customHeight="1">
      <c r="B694" s="135"/>
      <c r="C694" s="135"/>
      <c r="D694" s="136" t="s">
        <v>438</v>
      </c>
      <c r="E694" s="135"/>
      <c r="F694" s="135"/>
      <c r="G694" s="135"/>
      <c r="H694" s="135"/>
      <c r="AE694" s="1332" t="s">
        <v>670</v>
      </c>
      <c r="AF694" s="1332"/>
      <c r="AZ694" s="3"/>
    </row>
    <row r="695" spans="1:67" ht="12.95" customHeight="1">
      <c r="B695" s="135"/>
      <c r="C695" s="135"/>
      <c r="D695" s="136" t="s">
        <v>921</v>
      </c>
      <c r="E695" s="135"/>
      <c r="F695" s="135"/>
      <c r="G695" s="135"/>
      <c r="H695" s="135"/>
      <c r="AE695" s="1691">
        <v>45909</v>
      </c>
      <c r="AF695" s="1691"/>
      <c r="AG695" s="1691"/>
      <c r="AH695" s="1691"/>
      <c r="AI695" s="1691"/>
    </row>
    <row r="696" spans="1:67" ht="12.95" customHeight="1">
      <c r="B696" s="135"/>
      <c r="C696" s="135"/>
      <c r="D696" s="317" t="s">
        <v>984</v>
      </c>
      <c r="E696" s="135"/>
      <c r="F696" s="135"/>
      <c r="G696" s="135"/>
      <c r="H696" s="135"/>
      <c r="AE696" s="1703">
        <v>45980</v>
      </c>
      <c r="AF696" s="1703"/>
      <c r="AG696" s="1703"/>
      <c r="AH696" s="1703"/>
      <c r="AI696" s="1703"/>
    </row>
    <row r="697" spans="1:67" ht="12.95" customHeight="1">
      <c r="B697" s="135"/>
      <c r="C697" s="135"/>
    </row>
    <row r="698" spans="1:67" ht="12.95" customHeight="1">
      <c r="B698" s="135"/>
      <c r="C698" s="135"/>
      <c r="D698" s="136" t="s">
        <v>817</v>
      </c>
      <c r="E698" s="135"/>
      <c r="F698" s="135"/>
      <c r="G698" s="135"/>
      <c r="H698" s="135"/>
      <c r="AE698" s="1691">
        <v>46143</v>
      </c>
      <c r="AF698" s="1691"/>
      <c r="AG698" s="1691"/>
      <c r="AH698" s="1691"/>
      <c r="AI698" s="1691"/>
    </row>
    <row r="699" spans="1:67" ht="12.95" customHeight="1">
      <c r="B699" s="135"/>
      <c r="C699" s="135"/>
      <c r="D699" s="136" t="s">
        <v>436</v>
      </c>
      <c r="E699" s="135"/>
      <c r="F699" s="135"/>
      <c r="G699" s="135"/>
      <c r="H699" s="135"/>
      <c r="AE699" s="1661">
        <v>0.29679299999999997</v>
      </c>
      <c r="AF699" s="1661"/>
      <c r="AG699" s="1661"/>
      <c r="AH699" s="1661"/>
      <c r="AI699" s="1661"/>
    </row>
    <row r="700" spans="1:67" ht="12.95" customHeight="1">
      <c r="B700" s="135"/>
      <c r="C700" s="135"/>
      <c r="D700" s="136" t="s">
        <v>437</v>
      </c>
      <c r="E700" s="135"/>
      <c r="F700" s="135"/>
      <c r="G700" s="135"/>
      <c r="H700" s="135"/>
      <c r="W700" s="1359" t="str">
        <f>H335</f>
        <v>CMFA</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1" t="s">
        <v>1680</v>
      </c>
      <c r="L714" s="1722"/>
      <c r="M714" s="1722"/>
      <c r="N714" s="1723"/>
      <c r="O714" s="1363" t="s">
        <v>448</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4"/>
      <c r="L715" s="1725"/>
      <c r="M715" s="1725"/>
      <c r="N715" s="1726"/>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4"/>
      <c r="L716" s="1725"/>
      <c r="M716" s="1725"/>
      <c r="N716" s="1726"/>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4"/>
      <c r="L717" s="1725"/>
      <c r="M717" s="1725"/>
      <c r="N717" s="1726"/>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0"/>
      <c r="CJ717" s="1471"/>
      <c r="CK717" s="121" t="s">
        <v>476</v>
      </c>
      <c r="CL717" s="122"/>
      <c r="CM717" s="1470"/>
      <c r="CN717" s="1471"/>
      <c r="CO717" s="3"/>
      <c r="CP717" s="1387" t="s">
        <v>634</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634</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634</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2.95" customHeight="1">
      <c r="A718" s="4"/>
      <c r="B718" s="1337" t="s">
        <v>164</v>
      </c>
      <c r="C718" s="1338"/>
      <c r="D718" s="1338"/>
      <c r="E718" s="1338"/>
      <c r="F718" s="1339"/>
      <c r="G718" s="1350">
        <v>4</v>
      </c>
      <c r="H718" s="1351"/>
      <c r="I718" s="1351"/>
      <c r="J718" s="1352"/>
      <c r="K718" s="1343">
        <v>1120</v>
      </c>
      <c r="L718" s="1344"/>
      <c r="M718" s="1344"/>
      <c r="N718" s="1345"/>
      <c r="O718" s="1340">
        <v>1158</v>
      </c>
      <c r="P718" s="1341"/>
      <c r="Q718" s="1341"/>
      <c r="R718" s="1341"/>
      <c r="S718" s="1342"/>
      <c r="T718" s="1340">
        <v>19</v>
      </c>
      <c r="U718" s="1341"/>
      <c r="V718" s="1341"/>
      <c r="W718" s="1342"/>
      <c r="X718" s="1353">
        <f t="shared" ref="X718:X741" si="8">O718+T718</f>
        <v>1177</v>
      </c>
      <c r="Y718" s="1354"/>
      <c r="Z718" s="1354"/>
      <c r="AA718" s="1354"/>
      <c r="AB718" s="1355"/>
      <c r="AC718" s="1360">
        <v>0.3</v>
      </c>
      <c r="AD718" s="1361"/>
      <c r="AE718" s="1361"/>
      <c r="AF718" s="1361"/>
      <c r="AG718" s="1362"/>
      <c r="AH718" s="1356">
        <f>IF($AC718&gt;0,($X718/$AZ718), "")</f>
        <v>0.2997962302598064</v>
      </c>
      <c r="AI718" s="1357"/>
      <c r="AJ718" s="1358"/>
      <c r="AK718" s="1337" t="s">
        <v>592</v>
      </c>
      <c r="AL718" s="1338"/>
      <c r="AM718" s="1338"/>
      <c r="AN718" s="1338"/>
      <c r="AO718" s="1339"/>
      <c r="AP718" s="3"/>
      <c r="AQ718" s="3"/>
      <c r="AR718" s="3"/>
      <c r="AS718" s="3"/>
      <c r="AZ718" s="118">
        <f t="shared" ref="AZ718:AZ752" si="9">IF($G718=0,"N/A",VLOOKUP($T$189,TC_Rent,(MATCH($B718,bedrooms,FALSE)),FALSE))</f>
        <v>3926</v>
      </c>
      <c r="BA718" s="3"/>
      <c r="BB718" s="3"/>
      <c r="BC718" s="3"/>
      <c r="BD718" s="3"/>
      <c r="BE718" s="204"/>
      <c r="BF718" s="293">
        <f t="shared" ref="BF718:BF752" si="10">G718</f>
        <v>4</v>
      </c>
      <c r="BG718" s="297">
        <f t="shared" ref="BG718:BG752" si="11">IF($BF$753=0,0,BF718/$BF$753)</f>
        <v>0.125</v>
      </c>
      <c r="BH718" s="298">
        <f t="shared" ref="BH718:BH752" si="12">IF(BG718=0,"",BG718*AC718)</f>
        <v>3.7499999999999999E-2</v>
      </c>
      <c r="BI718" s="3"/>
      <c r="BJ718" s="3"/>
      <c r="BK718" s="3"/>
      <c r="BL718" s="3"/>
      <c r="BM718" s="3"/>
      <c r="BN718" s="3"/>
      <c r="BS718" s="293">
        <f t="shared" ref="BS718:BS752" si="13">G718</f>
        <v>4</v>
      </c>
      <c r="BT718" s="297">
        <f t="shared" ref="BT718:BT752" si="14">IF($BS$753=0,0,BS718/$BS$753)</f>
        <v>0.125</v>
      </c>
      <c r="BU718" s="298">
        <f t="shared" ref="BU718:BU752" si="15">IF(BT718=0,"",BT718*AH718)</f>
        <v>3.7474528782475799E-2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4</v>
      </c>
      <c r="CN718" s="1471"/>
      <c r="CO718" s="3"/>
      <c r="CP718" s="1459">
        <f t="shared" ref="CP718:CP752" si="18">IF(B718="SRO/Studio",G718,0)</f>
        <v>0</v>
      </c>
      <c r="CQ718" s="1460"/>
      <c r="CR718" s="1460"/>
      <c r="CS718" s="1460"/>
      <c r="CT718" s="1461"/>
      <c r="CU718" s="1443">
        <f t="shared" ref="CU718:CU752" si="19">IF(B718="1 Bedroom",G718,0)</f>
        <v>0</v>
      </c>
      <c r="CV718" s="1443"/>
      <c r="CW718" s="1443"/>
      <c r="CX718" s="1443"/>
      <c r="CY718" s="1443"/>
      <c r="CZ718" s="1443">
        <f t="shared" ref="CZ718:CZ752" si="20">IF(B718="2 Bedrooms",G718,0)</f>
        <v>0</v>
      </c>
      <c r="DA718" s="1443"/>
      <c r="DB718" s="1443"/>
      <c r="DC718" s="1443"/>
      <c r="DD718" s="1443"/>
      <c r="DE718" s="1443">
        <f t="shared" ref="DE718:DE752" si="21">IF(B718="3 Bedrooms",G718,0)</f>
        <v>4</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0</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4</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4" t="str">
        <f t="shared" ref="EZ718:EZ752" si="30">IF(CP718&gt;0,O718,"")</f>
        <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f t="shared" ref="FO718:FO752" si="33">IF(DE718&gt;0,O718,"")</f>
        <v>1158</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37" t="s">
        <v>164</v>
      </c>
      <c r="C719" s="1338"/>
      <c r="D719" s="1338"/>
      <c r="E719" s="1338"/>
      <c r="F719" s="1339"/>
      <c r="G719" s="1350">
        <v>4</v>
      </c>
      <c r="H719" s="1351"/>
      <c r="I719" s="1351"/>
      <c r="J719" s="1352"/>
      <c r="K719" s="1343">
        <f>+K718</f>
        <v>1120</v>
      </c>
      <c r="L719" s="1344"/>
      <c r="M719" s="1344"/>
      <c r="N719" s="1345"/>
      <c r="O719" s="1340">
        <v>1944</v>
      </c>
      <c r="P719" s="1341"/>
      <c r="Q719" s="1341"/>
      <c r="R719" s="1341"/>
      <c r="S719" s="1342"/>
      <c r="T719" s="1340">
        <f>+T718</f>
        <v>19</v>
      </c>
      <c r="U719" s="1341"/>
      <c r="V719" s="1341"/>
      <c r="W719" s="1342"/>
      <c r="X719" s="1353">
        <f t="shared" si="8"/>
        <v>1963</v>
      </c>
      <c r="Y719" s="1354"/>
      <c r="Z719" s="1354"/>
      <c r="AA719" s="1354"/>
      <c r="AB719" s="1355"/>
      <c r="AC719" s="1360">
        <v>0.5</v>
      </c>
      <c r="AD719" s="1361"/>
      <c r="AE719" s="1361"/>
      <c r="AF719" s="1361"/>
      <c r="AG719" s="1362"/>
      <c r="AH719" s="1356">
        <f t="shared" ref="AH719:AH752" si="36">IF($AC719&gt;0,($X719/$AZ719), "")</f>
        <v>0.5</v>
      </c>
      <c r="AI719" s="1357"/>
      <c r="AJ719" s="1358"/>
      <c r="AK719" s="1337" t="s">
        <v>592</v>
      </c>
      <c r="AL719" s="1338"/>
      <c r="AM719" s="1338"/>
      <c r="AN719" s="1338"/>
      <c r="AO719" s="1339"/>
      <c r="AP719" s="3"/>
      <c r="AQ719" s="3"/>
      <c r="AR719" s="3"/>
      <c r="AS719" s="3"/>
      <c r="AZ719" s="118">
        <f t="shared" si="9"/>
        <v>3926</v>
      </c>
      <c r="BA719" s="3"/>
      <c r="BB719" s="3"/>
      <c r="BC719" s="3"/>
      <c r="BD719" s="3"/>
      <c r="BE719" s="204"/>
      <c r="BF719" s="294">
        <f t="shared" si="10"/>
        <v>4</v>
      </c>
      <c r="BG719" s="297">
        <f t="shared" si="11"/>
        <v>0.125</v>
      </c>
      <c r="BH719" s="298">
        <f t="shared" si="12"/>
        <v>6.25E-2</v>
      </c>
      <c r="BI719" s="3"/>
      <c r="BJ719" s="3"/>
      <c r="BK719" s="3"/>
      <c r="BL719" s="3"/>
      <c r="BM719" s="3"/>
      <c r="BN719" s="3"/>
      <c r="BS719" s="294">
        <f t="shared" si="13"/>
        <v>4</v>
      </c>
      <c r="BT719" s="297">
        <f t="shared" si="14"/>
        <v>0.125</v>
      </c>
      <c r="BU719" s="298">
        <f t="shared" si="15"/>
        <v>6.25E-2</v>
      </c>
      <c r="CC719" s="3"/>
      <c r="CD719" s="3"/>
      <c r="CE719" s="3"/>
      <c r="CF719" s="3"/>
      <c r="CG719" s="1464">
        <f t="shared" ref="CG719:CG752" si="37">IF(AND(AC719&lt;=0.5,AC719&gt;=0.36),1,0)</f>
        <v>1</v>
      </c>
      <c r="CH719" s="1465"/>
      <c r="CI719" s="1470">
        <f t="shared" ref="CI719:CI752" si="38">IF(CG719=1,G719,0)</f>
        <v>4</v>
      </c>
      <c r="CJ719" s="1471"/>
      <c r="CK719" s="1464">
        <f t="shared" si="16"/>
        <v>0</v>
      </c>
      <c r="CL719" s="1465"/>
      <c r="CM719" s="1470">
        <f t="shared" si="17"/>
        <v>0</v>
      </c>
      <c r="CN719" s="1471"/>
      <c r="CO719" s="3"/>
      <c r="CP719" s="1459">
        <f t="shared" si="18"/>
        <v>0</v>
      </c>
      <c r="CQ719" s="1460"/>
      <c r="CR719" s="1460"/>
      <c r="CS719" s="1460"/>
      <c r="CT719" s="1461"/>
      <c r="CU719" s="1443">
        <f t="shared" si="19"/>
        <v>0</v>
      </c>
      <c r="CV719" s="1443"/>
      <c r="CW719" s="1443"/>
      <c r="CX719" s="1443"/>
      <c r="CY719" s="1443"/>
      <c r="CZ719" s="1443">
        <f t="shared" si="20"/>
        <v>0</v>
      </c>
      <c r="DA719" s="1443"/>
      <c r="DB719" s="1443"/>
      <c r="DC719" s="1443"/>
      <c r="DD719" s="1443"/>
      <c r="DE719" s="1443">
        <f t="shared" si="21"/>
        <v>4</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4" t="str">
        <f t="shared" si="30"/>
        <v/>
      </c>
      <c r="FA719" s="1466"/>
      <c r="FB719" s="1466"/>
      <c r="FC719" s="1466"/>
      <c r="FD719" s="1465"/>
      <c r="FE719" s="1464" t="str">
        <f t="shared" si="31"/>
        <v/>
      </c>
      <c r="FF719" s="1466"/>
      <c r="FG719" s="1466"/>
      <c r="FH719" s="1466"/>
      <c r="FI719" s="1465"/>
      <c r="FJ719" s="1464" t="str">
        <f t="shared" si="32"/>
        <v/>
      </c>
      <c r="FK719" s="1466"/>
      <c r="FL719" s="1466"/>
      <c r="FM719" s="1466"/>
      <c r="FN719" s="1465"/>
      <c r="FO719" s="1464">
        <f t="shared" si="33"/>
        <v>1944</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37" t="s">
        <v>164</v>
      </c>
      <c r="C720" s="1338"/>
      <c r="D720" s="1338"/>
      <c r="E720" s="1338"/>
      <c r="F720" s="1339"/>
      <c r="G720" s="1350">
        <v>10</v>
      </c>
      <c r="H720" s="1351"/>
      <c r="I720" s="1351"/>
      <c r="J720" s="1352"/>
      <c r="K720" s="1343">
        <f>+K719</f>
        <v>1120</v>
      </c>
      <c r="L720" s="1344"/>
      <c r="M720" s="1344"/>
      <c r="N720" s="1345"/>
      <c r="O720" s="1340">
        <v>2337</v>
      </c>
      <c r="P720" s="1341"/>
      <c r="Q720" s="1341"/>
      <c r="R720" s="1341"/>
      <c r="S720" s="1342"/>
      <c r="T720" s="1340">
        <f>+T719</f>
        <v>19</v>
      </c>
      <c r="U720" s="1341"/>
      <c r="V720" s="1341"/>
      <c r="W720" s="1342"/>
      <c r="X720" s="1353">
        <f t="shared" si="8"/>
        <v>2356</v>
      </c>
      <c r="Y720" s="1354"/>
      <c r="Z720" s="1354"/>
      <c r="AA720" s="1354"/>
      <c r="AB720" s="1355"/>
      <c r="AC720" s="1360">
        <v>0.6</v>
      </c>
      <c r="AD720" s="1361"/>
      <c r="AE720" s="1361"/>
      <c r="AF720" s="1361"/>
      <c r="AG720" s="1362"/>
      <c r="AH720" s="1356">
        <f t="shared" si="36"/>
        <v>0.60010188487009675</v>
      </c>
      <c r="AI720" s="1357"/>
      <c r="AJ720" s="1358"/>
      <c r="AK720" s="1337" t="s">
        <v>592</v>
      </c>
      <c r="AL720" s="1338"/>
      <c r="AM720" s="1338"/>
      <c r="AN720" s="1338"/>
      <c r="AO720" s="1339"/>
      <c r="AP720" s="3"/>
      <c r="AQ720" s="3"/>
      <c r="AR720" s="3"/>
      <c r="AS720" s="3"/>
      <c r="AZ720" s="118">
        <f t="shared" si="9"/>
        <v>3926</v>
      </c>
      <c r="BA720" s="3"/>
      <c r="BB720" s="3"/>
      <c r="BC720" s="3"/>
      <c r="BD720" s="3"/>
      <c r="BE720" s="204"/>
      <c r="BF720" s="294">
        <f t="shared" si="10"/>
        <v>10</v>
      </c>
      <c r="BG720" s="297">
        <f t="shared" si="11"/>
        <v>0.3125</v>
      </c>
      <c r="BH720" s="298">
        <f t="shared" si="12"/>
        <v>0.1875</v>
      </c>
      <c r="BI720" s="3"/>
      <c r="BJ720" s="3"/>
      <c r="BK720" s="3"/>
      <c r="BL720" s="3"/>
      <c r="BM720" s="3"/>
      <c r="BN720" s="3"/>
      <c r="BS720" s="294">
        <f t="shared" si="13"/>
        <v>10</v>
      </c>
      <c r="BT720" s="297">
        <f t="shared" si="14"/>
        <v>0.3125</v>
      </c>
      <c r="BU720" s="298">
        <f t="shared" si="15"/>
        <v>0.18753183902190523</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3">
        <f t="shared" si="19"/>
        <v>0</v>
      </c>
      <c r="CV720" s="1443"/>
      <c r="CW720" s="1443"/>
      <c r="CX720" s="1443"/>
      <c r="CY720" s="1443"/>
      <c r="CZ720" s="1443">
        <f t="shared" si="20"/>
        <v>0</v>
      </c>
      <c r="DA720" s="1443"/>
      <c r="DB720" s="1443"/>
      <c r="DC720" s="1443"/>
      <c r="DD720" s="1443"/>
      <c r="DE720" s="1443">
        <f t="shared" si="21"/>
        <v>10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4" t="str">
        <f t="shared" si="30"/>
        <v/>
      </c>
      <c r="FA720" s="1466"/>
      <c r="FB720" s="1466"/>
      <c r="FC720" s="1466"/>
      <c r="FD720" s="1465"/>
      <c r="FE720" s="1464" t="str">
        <f t="shared" si="31"/>
        <v/>
      </c>
      <c r="FF720" s="1466"/>
      <c r="FG720" s="1466"/>
      <c r="FH720" s="1466"/>
      <c r="FI720" s="1465"/>
      <c r="FJ720" s="1464" t="str">
        <f t="shared" si="32"/>
        <v/>
      </c>
      <c r="FK720" s="1466"/>
      <c r="FL720" s="1466"/>
      <c r="FM720" s="1466"/>
      <c r="FN720" s="1465"/>
      <c r="FO720" s="1464">
        <f t="shared" si="33"/>
        <v>2337</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37" t="s">
        <v>164</v>
      </c>
      <c r="C721" s="1338"/>
      <c r="D721" s="1338"/>
      <c r="E721" s="1338"/>
      <c r="F721" s="1339"/>
      <c r="G721" s="1350">
        <v>14</v>
      </c>
      <c r="H721" s="1351"/>
      <c r="I721" s="1351"/>
      <c r="J721" s="1352"/>
      <c r="K721" s="1343">
        <f>+K720</f>
        <v>1120</v>
      </c>
      <c r="L721" s="1344"/>
      <c r="M721" s="1344"/>
      <c r="N721" s="1345"/>
      <c r="O721" s="1340">
        <v>2610</v>
      </c>
      <c r="P721" s="1341"/>
      <c r="Q721" s="1341"/>
      <c r="R721" s="1341"/>
      <c r="S721" s="1342"/>
      <c r="T721" s="1340">
        <f>+T720</f>
        <v>19</v>
      </c>
      <c r="U721" s="1341"/>
      <c r="V721" s="1341"/>
      <c r="W721" s="1342"/>
      <c r="X721" s="1353">
        <f t="shared" si="8"/>
        <v>2629</v>
      </c>
      <c r="Y721" s="1354"/>
      <c r="Z721" s="1354"/>
      <c r="AA721" s="1354"/>
      <c r="AB721" s="1355"/>
      <c r="AC721" s="1360">
        <v>0.7</v>
      </c>
      <c r="AD721" s="1361"/>
      <c r="AE721" s="1361"/>
      <c r="AF721" s="1361"/>
      <c r="AG721" s="1362"/>
      <c r="AH721" s="1356">
        <f t="shared" si="36"/>
        <v>0.66963830871115637</v>
      </c>
      <c r="AI721" s="1357"/>
      <c r="AJ721" s="1358"/>
      <c r="AK721" s="1337" t="s">
        <v>592</v>
      </c>
      <c r="AL721" s="1338"/>
      <c r="AM721" s="1338"/>
      <c r="AN721" s="1338"/>
      <c r="AO721" s="1339"/>
      <c r="AP721" s="3"/>
      <c r="AQ721" s="3"/>
      <c r="AR721" s="3"/>
      <c r="AS721" s="3"/>
      <c r="AY721" s="116"/>
      <c r="AZ721" s="118">
        <f t="shared" si="9"/>
        <v>3926</v>
      </c>
      <c r="BA721" s="3"/>
      <c r="BB721" s="3"/>
      <c r="BC721" s="3"/>
      <c r="BD721" s="3"/>
      <c r="BE721" s="204"/>
      <c r="BF721" s="294">
        <f t="shared" si="10"/>
        <v>14</v>
      </c>
      <c r="BG721" s="297">
        <f t="shared" si="11"/>
        <v>0.4375</v>
      </c>
      <c r="BH721" s="298">
        <f t="shared" si="12"/>
        <v>0.30624999999999997</v>
      </c>
      <c r="BI721" s="3"/>
      <c r="BJ721" s="3"/>
      <c r="BK721" s="3"/>
      <c r="BL721" s="3"/>
      <c r="BM721" s="3"/>
      <c r="BN721" s="3"/>
      <c r="BS721" s="294">
        <f t="shared" si="13"/>
        <v>14</v>
      </c>
      <c r="BT721" s="297">
        <f t="shared" si="14"/>
        <v>0.4375</v>
      </c>
      <c r="BU721" s="298">
        <f t="shared" si="15"/>
        <v>0.29296676006113093</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3">
        <f t="shared" si="19"/>
        <v>0</v>
      </c>
      <c r="CV721" s="1443"/>
      <c r="CW721" s="1443"/>
      <c r="CX721" s="1443"/>
      <c r="CY721" s="1443"/>
      <c r="CZ721" s="1443">
        <f t="shared" si="20"/>
        <v>0</v>
      </c>
      <c r="DA721" s="1443"/>
      <c r="DB721" s="1443"/>
      <c r="DC721" s="1443"/>
      <c r="DD721" s="1443"/>
      <c r="DE721" s="1443">
        <f t="shared" si="21"/>
        <v>14</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4" t="str">
        <f t="shared" si="30"/>
        <v/>
      </c>
      <c r="FA721" s="1466"/>
      <c r="FB721" s="1466"/>
      <c r="FC721" s="1466"/>
      <c r="FD721" s="1465"/>
      <c r="FE721" s="1464" t="str">
        <f t="shared" si="31"/>
        <v/>
      </c>
      <c r="FF721" s="1466"/>
      <c r="FG721" s="1466"/>
      <c r="FH721" s="1466"/>
      <c r="FI721" s="1465"/>
      <c r="FJ721" s="1464" t="str">
        <f t="shared" si="32"/>
        <v/>
      </c>
      <c r="FK721" s="1466"/>
      <c r="FL721" s="1466"/>
      <c r="FM721" s="1466"/>
      <c r="FN721" s="1465"/>
      <c r="FO721" s="1464">
        <f t="shared" si="33"/>
        <v>2610</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37"/>
      <c r="C722" s="1338"/>
      <c r="D722" s="1338"/>
      <c r="E722" s="1338"/>
      <c r="F722" s="1339"/>
      <c r="G722" s="1350"/>
      <c r="H722" s="1351"/>
      <c r="I722" s="1351"/>
      <c r="J722" s="1352"/>
      <c r="K722" s="1343"/>
      <c r="L722" s="1344"/>
      <c r="M722" s="1344"/>
      <c r="N722" s="1345"/>
      <c r="O722" s="1340"/>
      <c r="P722" s="1341"/>
      <c r="Q722" s="1341"/>
      <c r="R722" s="1341"/>
      <c r="S722" s="1342"/>
      <c r="T722" s="1340"/>
      <c r="U722" s="1341"/>
      <c r="V722" s="1341"/>
      <c r="W722" s="1342"/>
      <c r="X722" s="1353">
        <f t="shared" si="8"/>
        <v>0</v>
      </c>
      <c r="Y722" s="1354"/>
      <c r="Z722" s="1354"/>
      <c r="AA722" s="1354"/>
      <c r="AB722" s="1355"/>
      <c r="AC722" s="1360"/>
      <c r="AD722" s="1361"/>
      <c r="AE722" s="1361"/>
      <c r="AF722" s="1361"/>
      <c r="AG722" s="1362"/>
      <c r="AH722" s="1356" t="str">
        <f t="shared" si="36"/>
        <v/>
      </c>
      <c r="AI722" s="1357"/>
      <c r="AJ722" s="1358"/>
      <c r="AK722" s="1337" t="s">
        <v>592</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3">
        <f t="shared" si="19"/>
        <v>0</v>
      </c>
      <c r="CV722" s="1443"/>
      <c r="CW722" s="1443"/>
      <c r="CX722" s="1443"/>
      <c r="CY722" s="1443"/>
      <c r="CZ722" s="1443">
        <f t="shared" si="20"/>
        <v>0</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0</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4" t="str">
        <f t="shared" si="30"/>
        <v/>
      </c>
      <c r="FA722" s="1466"/>
      <c r="FB722" s="1466"/>
      <c r="FC722" s="1466"/>
      <c r="FD722" s="1465"/>
      <c r="FE722" s="1464" t="str">
        <f t="shared" si="31"/>
        <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37"/>
      <c r="C723" s="1338"/>
      <c r="D723" s="1338"/>
      <c r="E723" s="1338"/>
      <c r="F723" s="1339"/>
      <c r="G723" s="1350"/>
      <c r="H723" s="1351"/>
      <c r="I723" s="1351"/>
      <c r="J723" s="1352"/>
      <c r="K723" s="1343"/>
      <c r="L723" s="1344"/>
      <c r="M723" s="1344"/>
      <c r="N723" s="1345"/>
      <c r="O723" s="1340"/>
      <c r="P723" s="1341"/>
      <c r="Q723" s="1341"/>
      <c r="R723" s="1341"/>
      <c r="S723" s="1342"/>
      <c r="T723" s="1340"/>
      <c r="U723" s="1341"/>
      <c r="V723" s="1341"/>
      <c r="W723" s="1342"/>
      <c r="X723" s="1353">
        <f t="shared" si="8"/>
        <v>0</v>
      </c>
      <c r="Y723" s="1354"/>
      <c r="Z723" s="1354"/>
      <c r="AA723" s="1354"/>
      <c r="AB723" s="1355"/>
      <c r="AC723" s="1360"/>
      <c r="AD723" s="1361"/>
      <c r="AE723" s="1361"/>
      <c r="AF723" s="1361"/>
      <c r="AG723" s="1362"/>
      <c r="AH723" s="1356" t="str">
        <f t="shared" si="36"/>
        <v/>
      </c>
      <c r="AI723" s="1357"/>
      <c r="AJ723" s="1358"/>
      <c r="AK723" s="1337" t="s">
        <v>592</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3">
        <f t="shared" si="19"/>
        <v>0</v>
      </c>
      <c r="CV723" s="1443"/>
      <c r="CW723" s="1443"/>
      <c r="CX723" s="1443"/>
      <c r="CY723" s="1443"/>
      <c r="CZ723" s="1443">
        <f t="shared" si="20"/>
        <v>0</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4" t="str">
        <f t="shared" si="30"/>
        <v/>
      </c>
      <c r="FA723" s="1466"/>
      <c r="FB723" s="1466"/>
      <c r="FC723" s="1466"/>
      <c r="FD723" s="1465"/>
      <c r="FE723" s="1464" t="str">
        <f t="shared" si="31"/>
        <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37"/>
      <c r="C724" s="1338"/>
      <c r="D724" s="1338"/>
      <c r="E724" s="1338"/>
      <c r="F724" s="1339"/>
      <c r="G724" s="1350"/>
      <c r="H724" s="1351"/>
      <c r="I724" s="1351"/>
      <c r="J724" s="1352"/>
      <c r="K724" s="1343"/>
      <c r="L724" s="1344"/>
      <c r="M724" s="1344"/>
      <c r="N724" s="1345"/>
      <c r="O724" s="1340"/>
      <c r="P724" s="1341"/>
      <c r="Q724" s="1341"/>
      <c r="R724" s="1341"/>
      <c r="S724" s="1342"/>
      <c r="T724" s="1340"/>
      <c r="U724" s="1341"/>
      <c r="V724" s="1341"/>
      <c r="W724" s="1342"/>
      <c r="X724" s="1353">
        <f t="shared" si="8"/>
        <v>0</v>
      </c>
      <c r="Y724" s="1354"/>
      <c r="Z724" s="1354"/>
      <c r="AA724" s="1354"/>
      <c r="AB724" s="1355"/>
      <c r="AC724" s="1360"/>
      <c r="AD724" s="1361"/>
      <c r="AE724" s="1361"/>
      <c r="AF724" s="1361"/>
      <c r="AG724" s="1362"/>
      <c r="AH724" s="1356" t="str">
        <f t="shared" si="36"/>
        <v/>
      </c>
      <c r="AI724" s="1357"/>
      <c r="AJ724" s="1358"/>
      <c r="AK724" s="1337" t="s">
        <v>592</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3">
        <f t="shared" si="19"/>
        <v>0</v>
      </c>
      <c r="CV724" s="1443"/>
      <c r="CW724" s="1443"/>
      <c r="CX724" s="1443"/>
      <c r="CY724" s="1443"/>
      <c r="CZ724" s="1443">
        <f t="shared" si="20"/>
        <v>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37"/>
      <c r="C725" s="1338"/>
      <c r="D725" s="1338"/>
      <c r="E725" s="1338"/>
      <c r="F725" s="1339"/>
      <c r="G725" s="1350"/>
      <c r="H725" s="1351"/>
      <c r="I725" s="1351"/>
      <c r="J725" s="1352"/>
      <c r="K725" s="1343"/>
      <c r="L725" s="1344"/>
      <c r="M725" s="1344"/>
      <c r="N725" s="1345"/>
      <c r="O725" s="1340"/>
      <c r="P725" s="1341"/>
      <c r="Q725" s="1341"/>
      <c r="R725" s="1341"/>
      <c r="S725" s="1342"/>
      <c r="T725" s="1340"/>
      <c r="U725" s="1341"/>
      <c r="V725" s="1341"/>
      <c r="W725" s="1342"/>
      <c r="X725" s="1353">
        <f t="shared" si="8"/>
        <v>0</v>
      </c>
      <c r="Y725" s="1354"/>
      <c r="Z725" s="1354"/>
      <c r="AA725" s="1354"/>
      <c r="AB725" s="1355"/>
      <c r="AC725" s="1360"/>
      <c r="AD725" s="1361"/>
      <c r="AE725" s="1361"/>
      <c r="AF725" s="1361"/>
      <c r="AG725" s="1362"/>
      <c r="AH725" s="1356" t="str">
        <f t="shared" si="36"/>
        <v/>
      </c>
      <c r="AI725" s="1357"/>
      <c r="AJ725" s="1358"/>
      <c r="AK725" s="1337" t="s">
        <v>592</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3">
        <f t="shared" si="19"/>
        <v>0</v>
      </c>
      <c r="CV725" s="1443"/>
      <c r="CW725" s="1443"/>
      <c r="CX725" s="1443"/>
      <c r="CY725" s="1443"/>
      <c r="CZ725" s="1443">
        <f t="shared" si="20"/>
        <v>0</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t="s">
        <v>592</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3">
        <f t="shared" si="19"/>
        <v>0</v>
      </c>
      <c r="CV726" s="1443"/>
      <c r="CW726" s="1443"/>
      <c r="CX726" s="1443"/>
      <c r="CY726" s="1443"/>
      <c r="CZ726" s="1443">
        <f t="shared" si="20"/>
        <v>0</v>
      </c>
      <c r="DA726" s="1443"/>
      <c r="DB726" s="1443"/>
      <c r="DC726" s="1443"/>
      <c r="DD726" s="1443"/>
      <c r="DE726" s="1443">
        <f t="shared" si="21"/>
        <v>0</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0</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t="s">
        <v>592</v>
      </c>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3">
        <f t="shared" si="19"/>
        <v>0</v>
      </c>
      <c r="CV727" s="1443"/>
      <c r="CW727" s="1443"/>
      <c r="CX727" s="1443"/>
      <c r="CY727" s="1443"/>
      <c r="CZ727" s="1443">
        <f t="shared" si="20"/>
        <v>0</v>
      </c>
      <c r="DA727" s="1443"/>
      <c r="DB727" s="1443"/>
      <c r="DC727" s="1443"/>
      <c r="DD727" s="1443"/>
      <c r="DE727" s="1443">
        <f t="shared" si="21"/>
        <v>0</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t="s">
        <v>592</v>
      </c>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3">
        <f t="shared" si="19"/>
        <v>0</v>
      </c>
      <c r="CV728" s="1443"/>
      <c r="CW728" s="1443"/>
      <c r="CX728" s="1443"/>
      <c r="CY728" s="1443"/>
      <c r="CZ728" s="1443">
        <f t="shared" si="20"/>
        <v>0</v>
      </c>
      <c r="DA728" s="1443"/>
      <c r="DB728" s="1443"/>
      <c r="DC728" s="1443"/>
      <c r="DD728" s="1443"/>
      <c r="DE728" s="1443">
        <f t="shared" si="21"/>
        <v>0</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t="s">
        <v>592</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3">
        <f t="shared" si="19"/>
        <v>0</v>
      </c>
      <c r="CV729" s="1443"/>
      <c r="CW729" s="1443"/>
      <c r="CX729" s="1443"/>
      <c r="CY729" s="1443"/>
      <c r="CZ729" s="1443">
        <f t="shared" si="20"/>
        <v>0</v>
      </c>
      <c r="DA729" s="1443"/>
      <c r="DB729" s="1443"/>
      <c r="DC729" s="1443"/>
      <c r="DD729" s="1443"/>
      <c r="DE729" s="1443">
        <f t="shared" si="21"/>
        <v>0</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t="s">
        <v>592</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t="s">
        <v>592</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49" t="s">
        <v>125</v>
      </c>
      <c r="C753" s="1450"/>
      <c r="D753" s="1450"/>
      <c r="E753" s="1450"/>
      <c r="F753" s="1451"/>
      <c r="G753" s="1621">
        <f>SUM(G718:G752)</f>
        <v>32</v>
      </c>
      <c r="H753" s="1622"/>
      <c r="I753" s="1622"/>
      <c r="J753" s="1623"/>
      <c r="K753" s="902" t="s">
        <v>124</v>
      </c>
      <c r="L753" s="5"/>
      <c r="M753" s="5"/>
      <c r="N753" s="46"/>
      <c r="O753" s="1353">
        <f>SUMPRODUCT(G718:G752,O718:O752)</f>
        <v>72318</v>
      </c>
      <c r="P753" s="1354"/>
      <c r="Q753" s="1354"/>
      <c r="R753" s="1354"/>
      <c r="S753" s="1355"/>
      <c r="T753"/>
      <c r="U753"/>
      <c r="V753"/>
      <c r="W753"/>
      <c r="X753" s="904" t="s">
        <v>901</v>
      </c>
      <c r="Y753" s="903"/>
      <c r="Z753" s="903"/>
      <c r="AA753" s="903"/>
      <c r="AB753" s="905"/>
      <c r="AC753" s="1604">
        <f>BH753</f>
        <v>0.59375</v>
      </c>
      <c r="AD753" s="1605"/>
      <c r="AE753" s="1605"/>
      <c r="AF753" s="1605"/>
      <c r="AG753" s="1606"/>
      <c r="AH753" s="1604">
        <f>IFERROR(BU753,"")</f>
        <v>0.58047312786551197</v>
      </c>
      <c r="AI753" s="1605"/>
      <c r="AJ753" s="1606"/>
      <c r="AK753"/>
      <c r="AL753"/>
      <c r="AM753"/>
      <c r="AN753"/>
      <c r="AO753"/>
      <c r="AP753" s="205"/>
      <c r="AQ753" s="205"/>
      <c r="AR753" s="205"/>
      <c r="AS753" s="205"/>
      <c r="AT753"/>
      <c r="AU753"/>
      <c r="AV753"/>
      <c r="AW753"/>
      <c r="AX753"/>
      <c r="AY753"/>
      <c r="AZ753" s="34"/>
      <c r="BA753" s="34"/>
      <c r="BB753" s="34"/>
      <c r="BC753" s="34"/>
      <c r="BE753" s="290" t="s">
        <v>900</v>
      </c>
      <c r="BF753" s="299">
        <f>SUM(BF718:BF752)</f>
        <v>32</v>
      </c>
      <c r="BG753" s="300">
        <f>SUM(BG718:BG752)</f>
        <v>1</v>
      </c>
      <c r="BH753" s="300">
        <f>SUM(BH718:BH752)</f>
        <v>0.59375</v>
      </c>
      <c r="BI753"/>
      <c r="BJ753"/>
      <c r="BK753"/>
      <c r="BL753"/>
      <c r="BO753"/>
      <c r="BP753"/>
      <c r="BQ753"/>
      <c r="BR753"/>
      <c r="BS753" s="859">
        <f>SUM(BS718:BS752)</f>
        <v>32</v>
      </c>
      <c r="BT753" s="300">
        <f>SUM(BT718:BT752)</f>
        <v>1</v>
      </c>
      <c r="BU753" s="300">
        <f>SUM(BU718:BU752)</f>
        <v>0.58047312786551197</v>
      </c>
      <c r="CI753" s="1464">
        <f>SUM(CI718:CJ752)</f>
        <v>4</v>
      </c>
      <c r="CJ753" s="1465"/>
      <c r="CM753" s="1464">
        <f>SUM(CM718:CN752)</f>
        <v>4</v>
      </c>
      <c r="CN753" s="1465"/>
      <c r="CP753" s="1464">
        <f>SUM(CP718:CT752)</f>
        <v>0</v>
      </c>
      <c r="CQ753" s="1466"/>
      <c r="CR753" s="1466"/>
      <c r="CS753" s="1466"/>
      <c r="CT753" s="1465"/>
      <c r="CU753" s="1462">
        <f>SUM(CU718:CY752)</f>
        <v>0</v>
      </c>
      <c r="CV753" s="1462"/>
      <c r="CW753" s="1462"/>
      <c r="CX753" s="1462"/>
      <c r="CY753" s="1462"/>
      <c r="CZ753" s="1462">
        <f>SUM(CZ718:DD752)</f>
        <v>0</v>
      </c>
      <c r="DA753" s="1462"/>
      <c r="DB753" s="1462"/>
      <c r="DC753" s="1462"/>
      <c r="DD753" s="1462"/>
      <c r="DE753" s="1462">
        <f>SUM(DE718:DI752)</f>
        <v>32</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0</v>
      </c>
      <c r="EA753" s="1462"/>
      <c r="EB753" s="1462"/>
      <c r="EC753" s="1462"/>
      <c r="ED753" s="1462"/>
      <c r="EE753" s="1462">
        <f>SUM(EE718:EI752)</f>
        <v>0</v>
      </c>
      <c r="EF753" s="1462"/>
      <c r="EG753" s="1462"/>
      <c r="EH753" s="1462"/>
      <c r="EI753" s="1462"/>
      <c r="EJ753" s="1462">
        <f>SUM(EJ718:EN752)</f>
        <v>4</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0</v>
      </c>
      <c r="FF753" s="1462"/>
      <c r="FG753" s="1462"/>
      <c r="FH753" s="1462"/>
      <c r="FI753" s="1462"/>
      <c r="FJ753" s="1462">
        <f>SUM(FJ718:FN752)</f>
        <v>0</v>
      </c>
      <c r="FK753" s="1462"/>
      <c r="FL753" s="1462"/>
      <c r="FM753" s="1462"/>
      <c r="FN753" s="1462"/>
      <c r="FO753" s="1462">
        <f>SUM(FO718:FS752)</f>
        <v>8049</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4">
        <f>CP753+CU753+CZ753+DE753+DJ753+DO753</f>
        <v>32</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0</v>
      </c>
      <c r="DE755" s="3"/>
      <c r="DF755" s="3"/>
      <c r="DG755" s="3"/>
      <c r="DH755" s="3"/>
      <c r="DI755" s="861">
        <f>DE753*3</f>
        <v>96</v>
      </c>
      <c r="DJ755" s="3"/>
      <c r="DK755" s="3"/>
      <c r="DL755" s="3"/>
      <c r="DM755" s="3"/>
      <c r="DN755" s="861">
        <f>DJ753*4</f>
        <v>0</v>
      </c>
      <c r="DO755" s="3"/>
      <c r="DP755" s="3"/>
      <c r="DQ755" s="3"/>
      <c r="DR755" s="3"/>
      <c r="DS755" s="861">
        <f>DO753*5</f>
        <v>0</v>
      </c>
      <c r="DU755" s="861">
        <f>CT755+CY755+DD755+DI755+DN755+DS755</f>
        <v>96</v>
      </c>
      <c r="DV755" s="57" t="s">
        <v>1863</v>
      </c>
      <c r="DW755" s="3"/>
      <c r="DX755" s="3"/>
      <c r="DY755" s="3"/>
      <c r="DZ755" s="3"/>
      <c r="EA755" s="3"/>
      <c r="EB755" s="3"/>
      <c r="EC755" s="3"/>
      <c r="ED755" s="3"/>
      <c r="EE755" s="3"/>
      <c r="EF755" s="3"/>
      <c r="EG755" s="3"/>
      <c r="EH755" s="3"/>
    </row>
    <row r="756" spans="1:185" ht="12.95" customHeight="1">
      <c r="A756" s="3"/>
      <c r="B756" s="3"/>
      <c r="C756" s="118" t="s">
        <v>1892</v>
      </c>
      <c r="D756" s="1032"/>
      <c r="E756" s="1032"/>
      <c r="F756" s="1032"/>
      <c r="G756" s="1033"/>
      <c r="H756" s="1033"/>
      <c r="I756" s="1033"/>
      <c r="J756" s="1033"/>
      <c r="K756" s="1032"/>
      <c r="L756" s="1032"/>
      <c r="M756" s="1032"/>
      <c r="N756" s="1032"/>
      <c r="O756" s="1462">
        <f>DU755</f>
        <v>96</v>
      </c>
      <c r="P756" s="1462"/>
      <c r="Q756" s="1462"/>
      <c r="R756" s="1462"/>
      <c r="S756" s="969"/>
      <c r="T756" s="969"/>
      <c r="U756" s="118" t="s">
        <v>1893</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592</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19" t="s">
        <v>285</v>
      </c>
      <c r="P769" s="1619"/>
      <c r="Q769" s="1619"/>
      <c r="R769" s="1619"/>
      <c r="S769" s="1619"/>
      <c r="T769" s="1721" t="s">
        <v>1680</v>
      </c>
      <c r="U769" s="1722"/>
      <c r="V769" s="1722"/>
      <c r="W769" s="1723"/>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9"/>
      <c r="P770" s="1619"/>
      <c r="Q770" s="1619"/>
      <c r="R770" s="1619"/>
      <c r="S770" s="1619"/>
      <c r="T770" s="1724"/>
      <c r="U770" s="1725"/>
      <c r="V770" s="1725"/>
      <c r="W770" s="1726"/>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9"/>
      <c r="P771" s="1619"/>
      <c r="Q771" s="1619"/>
      <c r="R771" s="1619"/>
      <c r="S771" s="1619"/>
      <c r="T771" s="1724"/>
      <c r="U771" s="1725"/>
      <c r="V771" s="1725"/>
      <c r="W771" s="1726"/>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9"/>
      <c r="P772" s="1619"/>
      <c r="Q772" s="1619"/>
      <c r="R772" s="1619"/>
      <c r="S772" s="1619"/>
      <c r="T772" s="1727"/>
      <c r="U772" s="1728"/>
      <c r="V772" s="1728"/>
      <c r="W772" s="1729"/>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164</v>
      </c>
      <c r="K773" s="1338"/>
      <c r="L773" s="1338"/>
      <c r="M773" s="1338"/>
      <c r="N773" s="1339"/>
      <c r="O773" s="1613">
        <v>1</v>
      </c>
      <c r="P773" s="1613"/>
      <c r="Q773" s="1613"/>
      <c r="R773" s="1613"/>
      <c r="S773" s="1613"/>
      <c r="T773" s="1343">
        <v>1120</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3">
        <f>IF(J773="1 Bedroom",O773,0)</f>
        <v>0</v>
      </c>
      <c r="CV773" s="1443"/>
      <c r="CW773" s="1443"/>
      <c r="CX773" s="1443"/>
      <c r="CY773" s="1443"/>
      <c r="CZ773" s="1443">
        <f>IF(J773="2 Bedrooms",O773,0)</f>
        <v>0</v>
      </c>
      <c r="DA773" s="1443"/>
      <c r="DB773" s="1443"/>
      <c r="DC773" s="1443"/>
      <c r="DD773" s="1443"/>
      <c r="DE773" s="1443">
        <f>IF(J773="3 Bedrooms",O773,0)</f>
        <v>1</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70">
        <f>SUM(O773:S776)</f>
        <v>1</v>
      </c>
      <c r="P777" s="1472"/>
      <c r="Q777" s="1472"/>
      <c r="R777" s="1472"/>
      <c r="S777" s="1471"/>
      <c r="X777" s="1449" t="s">
        <v>124</v>
      </c>
      <c r="Y777" s="1450"/>
      <c r="Z777" s="1450"/>
      <c r="AA777" s="1450"/>
      <c r="AB777" s="1451"/>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1</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19" t="s">
        <v>285</v>
      </c>
      <c r="P783" s="1619"/>
      <c r="Q783" s="1619"/>
      <c r="R783" s="1619"/>
      <c r="S783" s="1619"/>
      <c r="T783" s="1721" t="s">
        <v>1680</v>
      </c>
      <c r="U783" s="1722"/>
      <c r="V783" s="1722"/>
      <c r="W783" s="1723"/>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9"/>
      <c r="P784" s="1619"/>
      <c r="Q784" s="1619"/>
      <c r="R784" s="1619"/>
      <c r="S784" s="1619"/>
      <c r="T784" s="1724"/>
      <c r="U784" s="1725"/>
      <c r="V784" s="1725"/>
      <c r="W784" s="1726"/>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9"/>
      <c r="P785" s="1619"/>
      <c r="Q785" s="1619"/>
      <c r="R785" s="1619"/>
      <c r="S785" s="1619"/>
      <c r="T785" s="1724"/>
      <c r="U785" s="1725"/>
      <c r="V785" s="1725"/>
      <c r="W785" s="1726"/>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9"/>
      <c r="P786" s="1619"/>
      <c r="Q786" s="1619"/>
      <c r="R786" s="1619"/>
      <c r="S786" s="1619"/>
      <c r="T786" s="1727"/>
      <c r="U786" s="1728"/>
      <c r="V786" s="1728"/>
      <c r="W786" s="1729"/>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49" t="s">
        <v>125</v>
      </c>
      <c r="K797" s="1450"/>
      <c r="L797" s="1450"/>
      <c r="M797" s="1450"/>
      <c r="N797" s="1451"/>
      <c r="O797" s="1731">
        <f>SUM(O787:S796)</f>
        <v>0</v>
      </c>
      <c r="P797" s="1731"/>
      <c r="Q797" s="1731"/>
      <c r="R797" s="1731"/>
      <c r="S797" s="1731"/>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60">
        <f>SUM(DU797:EX797)</f>
        <v>0</v>
      </c>
      <c r="EU799" s="1861"/>
      <c r="EV799" s="1861"/>
      <c r="EW799" s="1861"/>
      <c r="EX799" s="186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72318</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867816</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0</v>
      </c>
      <c r="CV802" s="1474"/>
      <c r="CW802" s="1474"/>
      <c r="CX802" s="1474"/>
      <c r="CY802" s="1475"/>
      <c r="CZ802" s="1473">
        <f>CZ753+CZ777+CZ797</f>
        <v>0</v>
      </c>
      <c r="DA802" s="1474"/>
      <c r="DB802" s="1474"/>
      <c r="DC802" s="1474"/>
      <c r="DD802" s="1475"/>
      <c r="DE802" s="1473">
        <f>DE753+DE777+DE797</f>
        <v>33</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96</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2657</v>
      </c>
      <c r="Q816" s="1594"/>
      <c r="R816" s="1594"/>
      <c r="S816" s="1594"/>
      <c r="T816" s="1594"/>
      <c r="U816" s="1594"/>
      <c r="V816" s="1594"/>
      <c r="W816" s="1594"/>
      <c r="X816" s="1594"/>
      <c r="Y816" s="1595"/>
      <c r="Z816" s="1467">
        <f>1680+1800</f>
        <v>3480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3480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871296</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2"/>
      <c r="N825" s="1642"/>
      <c r="O825" s="1642"/>
      <c r="P825" s="1642"/>
      <c r="Q825" s="1642"/>
      <c r="R825" s="1642"/>
      <c r="S825" s="1642"/>
      <c r="T825" s="1642"/>
      <c r="U825" s="1642"/>
      <c r="V825" s="1642"/>
      <c r="W825" s="1642"/>
      <c r="X825" s="1642"/>
      <c r="Y825" s="1642">
        <v>2</v>
      </c>
      <c r="Z825" s="1642"/>
      <c r="AA825" s="1642"/>
      <c r="AB825" s="1642"/>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v>0.89</v>
      </c>
      <c r="Z827" s="1642"/>
      <c r="AA827" s="1642"/>
      <c r="AB827" s="1642"/>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v>0.91</v>
      </c>
      <c r="Z828" s="1642"/>
      <c r="AA828" s="1642"/>
      <c r="AB828" s="1642"/>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v>11.3</v>
      </c>
      <c r="Z829" s="1642"/>
      <c r="AA829" s="1642"/>
      <c r="AB829" s="1642"/>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2658</v>
      </c>
      <c r="G831" s="1594"/>
      <c r="H831" s="1594"/>
      <c r="I831" s="1594"/>
      <c r="J831" s="1594"/>
      <c r="K831" s="1594"/>
      <c r="L831" s="1594"/>
      <c r="M831" s="1642"/>
      <c r="N831" s="1642"/>
      <c r="O831" s="1642"/>
      <c r="P831" s="1642"/>
      <c r="Q831" s="1642"/>
      <c r="R831" s="1642"/>
      <c r="S831" s="1642"/>
      <c r="T831" s="1642"/>
      <c r="U831" s="1642"/>
      <c r="V831" s="1642"/>
      <c r="W831" s="1642"/>
      <c r="X831" s="1642"/>
      <c r="Y831" s="1642">
        <v>3.51</v>
      </c>
      <c r="Z831" s="1642"/>
      <c r="AA831" s="1642"/>
      <c r="AB831" s="1642"/>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18.61</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2654</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v>1000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v>2500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v>7500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3" t="s">
        <v>2622</v>
      </c>
      <c r="N846" s="1594"/>
      <c r="O846" s="1594"/>
      <c r="P846" s="1594"/>
      <c r="Q846" s="1594"/>
      <c r="R846" s="1594"/>
      <c r="S846" s="1594"/>
      <c r="T846" s="1594"/>
      <c r="U846" s="1594"/>
      <c r="V846" s="1595"/>
      <c r="W846" s="1482">
        <f>250*33</f>
        <v>8250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19250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7">
        <f>+Z818*0.95*0.05</f>
        <v>41386.559999999998</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1"/>
      <c r="X851" s="1651"/>
      <c r="Y851" s="1651"/>
      <c r="Z851" s="1651"/>
      <c r="AA851" s="1651"/>
      <c r="AB851" s="1651"/>
      <c r="AC851" s="1651"/>
      <c r="AZ851" s="1720"/>
      <c r="BA851" s="1720"/>
      <c r="BB851" s="14"/>
      <c r="BC851" s="14"/>
    </row>
    <row r="852" spans="3:55" ht="12.95" customHeight="1">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2.95" customHeight="1">
      <c r="J853" s="45" t="s">
        <v>460</v>
      </c>
      <c r="K853" s="5"/>
      <c r="L853" s="5"/>
      <c r="M853" s="5"/>
      <c r="N853" s="5"/>
      <c r="O853" s="5"/>
      <c r="P853" s="5"/>
      <c r="Q853" s="5"/>
      <c r="R853" s="5"/>
      <c r="S853" s="5"/>
      <c r="T853" s="5"/>
      <c r="U853" s="5"/>
      <c r="V853" s="46"/>
      <c r="W853" s="1651">
        <v>1250</v>
      </c>
      <c r="X853" s="1651"/>
      <c r="Y853" s="1651"/>
      <c r="Z853" s="1651"/>
      <c r="AA853" s="1651"/>
      <c r="AB853" s="1651"/>
      <c r="AC853" s="1651"/>
      <c r="AZ853" s="30"/>
      <c r="BA853" s="30"/>
      <c r="BB853" s="14"/>
      <c r="BC853" s="14"/>
    </row>
    <row r="854" spans="3:55" ht="12.95" customHeight="1">
      <c r="J854" s="62" t="s">
        <v>621</v>
      </c>
      <c r="K854" s="5"/>
      <c r="L854" s="5"/>
      <c r="M854" s="5"/>
      <c r="N854" s="5"/>
      <c r="O854" s="5"/>
      <c r="P854" s="5"/>
      <c r="Q854" s="5"/>
      <c r="R854" s="5"/>
      <c r="S854" s="5"/>
      <c r="T854" s="5"/>
      <c r="U854" s="5"/>
      <c r="V854" s="46"/>
      <c r="W854" s="1651">
        <f>33*450</f>
        <v>14850</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7">
        <f>SUM(W851:W854)</f>
        <v>16100</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705">
        <v>35000</v>
      </c>
      <c r="X857" s="1631"/>
      <c r="Y857" s="1631"/>
      <c r="Z857" s="1631"/>
      <c r="AA857" s="1631"/>
      <c r="AB857" s="1631"/>
      <c r="AC857" s="1632"/>
      <c r="AD857" s="528"/>
      <c r="AZ857" s="34"/>
      <c r="BA857" s="34"/>
      <c r="BB857" s="34"/>
      <c r="BC857" s="34"/>
    </row>
    <row r="858" spans="3:55" ht="12.95" customHeight="1">
      <c r="C858" s="2" t="s">
        <v>347</v>
      </c>
      <c r="J858" s="121" t="s">
        <v>1656</v>
      </c>
      <c r="K858" s="5"/>
      <c r="L858" s="5"/>
      <c r="M858" s="5"/>
      <c r="N858" s="5"/>
      <c r="O858" s="5"/>
      <c r="P858" s="5"/>
      <c r="Q858" s="5"/>
      <c r="R858" s="5"/>
      <c r="S858" s="5"/>
      <c r="T858" s="1711">
        <v>1.5</v>
      </c>
      <c r="U858" s="1697"/>
      <c r="V858" s="1712"/>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705">
        <v>35000</v>
      </c>
      <c r="X859" s="1631"/>
      <c r="Y859" s="1631"/>
      <c r="Z859" s="1631"/>
      <c r="AA859" s="1631"/>
      <c r="AB859" s="1631"/>
      <c r="AC859" s="1632"/>
      <c r="AD859" s="533"/>
      <c r="AZ859" s="34"/>
      <c r="BA859" s="34"/>
      <c r="BB859" s="34"/>
      <c r="BC859" s="34"/>
    </row>
    <row r="860" spans="3:55" ht="12.95" customHeight="1">
      <c r="C860" s="2"/>
      <c r="J860" s="121" t="s">
        <v>1657</v>
      </c>
      <c r="K860" s="5"/>
      <c r="L860" s="5"/>
      <c r="M860" s="5"/>
      <c r="N860" s="5"/>
      <c r="O860" s="5"/>
      <c r="P860" s="5"/>
      <c r="Q860" s="5"/>
      <c r="R860" s="5"/>
      <c r="S860" s="5"/>
      <c r="T860" s="1711"/>
      <c r="U860" s="1697"/>
      <c r="V860" s="1712"/>
      <c r="W860" s="874"/>
      <c r="X860" s="875"/>
      <c r="Y860" s="875"/>
      <c r="Z860" s="875"/>
      <c r="AA860" s="875"/>
      <c r="AB860" s="875"/>
      <c r="AC860" s="876"/>
      <c r="AD860" s="533"/>
      <c r="AZ860" s="34"/>
      <c r="BA860" s="34"/>
      <c r="BB860" s="34"/>
      <c r="BC860" s="34"/>
    </row>
    <row r="861" spans="3:55" ht="12.95" customHeight="1">
      <c r="J861" s="45" t="s">
        <v>170</v>
      </c>
      <c r="K861" s="5"/>
      <c r="L861" s="5"/>
      <c r="M861" s="1593" t="s">
        <v>334</v>
      </c>
      <c r="N861" s="1594"/>
      <c r="O861" s="1594"/>
      <c r="P861" s="1594"/>
      <c r="Q861" s="1594"/>
      <c r="R861" s="1594"/>
      <c r="S861" s="1594"/>
      <c r="T861" s="1594"/>
      <c r="U861" s="1594"/>
      <c r="V861" s="1595"/>
      <c r="W861" s="1705"/>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3">
        <f>SUM(W857:W861)</f>
        <v>70000</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f>725*33</f>
        <v>23925</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2">
        <f>50*33</f>
        <v>1650</v>
      </c>
      <c r="X865" s="1482"/>
      <c r="Y865" s="1482"/>
      <c r="Z865" s="1482"/>
      <c r="AA865" s="1482"/>
      <c r="AB865" s="1482"/>
      <c r="AC865" s="1482"/>
      <c r="AU865" s="14"/>
      <c r="AZ865" s="34"/>
      <c r="BA865" s="34"/>
      <c r="BB865" s="34"/>
      <c r="BC865" s="34"/>
    </row>
    <row r="866" spans="3:55" ht="12.95" customHeight="1">
      <c r="J866" s="45" t="s">
        <v>523</v>
      </c>
      <c r="K866" s="5"/>
      <c r="L866" s="5"/>
      <c r="M866" s="5"/>
      <c r="N866" s="5"/>
      <c r="O866" s="5"/>
      <c r="P866" s="5"/>
      <c r="Q866" s="5"/>
      <c r="R866" s="5"/>
      <c r="S866" s="5"/>
      <c r="T866" s="5"/>
      <c r="U866" s="5"/>
      <c r="V866" s="46"/>
      <c r="W866" s="1482">
        <f>150*33</f>
        <v>4950</v>
      </c>
      <c r="X866" s="1482"/>
      <c r="Y866" s="1482"/>
      <c r="Z866" s="1482"/>
      <c r="AA866" s="1482"/>
      <c r="AB866" s="1482"/>
      <c r="AC866" s="1482"/>
      <c r="AU866" s="4"/>
      <c r="AZ866" s="34"/>
      <c r="BA866" s="34"/>
      <c r="BB866" s="34"/>
      <c r="BC866" s="34"/>
    </row>
    <row r="867" spans="3:55" ht="12.95" customHeight="1">
      <c r="J867" s="45" t="s">
        <v>522</v>
      </c>
      <c r="K867" s="5"/>
      <c r="L867" s="5"/>
      <c r="M867" s="5"/>
      <c r="N867" s="5"/>
      <c r="O867" s="5"/>
      <c r="P867" s="5"/>
      <c r="Q867" s="5"/>
      <c r="R867" s="5"/>
      <c r="S867" s="5"/>
      <c r="T867" s="5"/>
      <c r="U867" s="5"/>
      <c r="V867" s="46"/>
      <c r="W867" s="1482">
        <f>35*33*12-(119*33)</f>
        <v>9933</v>
      </c>
      <c r="X867" s="1482"/>
      <c r="Y867" s="1482"/>
      <c r="Z867" s="1482"/>
      <c r="AA867" s="1482"/>
      <c r="AB867" s="1482"/>
      <c r="AC867" s="1482"/>
      <c r="AU867" s="4"/>
      <c r="AZ867" s="34"/>
      <c r="BA867" s="34"/>
      <c r="BB867" s="34"/>
      <c r="BC867" s="34"/>
    </row>
    <row r="868" spans="3:55" ht="12.95" customHeight="1">
      <c r="J868" s="45" t="s">
        <v>521</v>
      </c>
      <c r="K868" s="5"/>
      <c r="L868" s="5"/>
      <c r="M868" s="5"/>
      <c r="N868" s="5"/>
      <c r="O868" s="5"/>
      <c r="P868" s="5"/>
      <c r="Q868" s="5"/>
      <c r="R868" s="5"/>
      <c r="S868" s="5"/>
      <c r="T868" s="5"/>
      <c r="U868" s="5"/>
      <c r="V868" s="46"/>
      <c r="W868" s="1482">
        <f>100*12</f>
        <v>1200</v>
      </c>
      <c r="X868" s="1482"/>
      <c r="Y868" s="1482"/>
      <c r="Z868" s="1482"/>
      <c r="AA868" s="1482"/>
      <c r="AB868" s="1482"/>
      <c r="AC868" s="1482"/>
      <c r="AU868" s="4"/>
      <c r="AZ868" s="34"/>
      <c r="BA868" s="34"/>
      <c r="BB868" s="34"/>
      <c r="BC868" s="34"/>
    </row>
    <row r="869" spans="3:55" ht="12.95" customHeight="1">
      <c r="J869" s="45" t="s">
        <v>520</v>
      </c>
      <c r="K869" s="5"/>
      <c r="L869" s="5"/>
      <c r="M869" s="5"/>
      <c r="N869" s="5"/>
      <c r="O869" s="5"/>
      <c r="P869" s="5"/>
      <c r="Q869" s="5"/>
      <c r="R869" s="5"/>
      <c r="S869" s="5"/>
      <c r="T869" s="5"/>
      <c r="U869" s="5"/>
      <c r="V869" s="46"/>
      <c r="W869" s="1482">
        <f>500*12</f>
        <v>6000</v>
      </c>
      <c r="X869" s="1482"/>
      <c r="Y869" s="1482"/>
      <c r="Z869" s="1482"/>
      <c r="AA869" s="1482"/>
      <c r="AB869" s="1482"/>
      <c r="AC869" s="1482"/>
      <c r="AU869" s="4"/>
      <c r="AZ869" s="34"/>
      <c r="BA869" s="34"/>
      <c r="BB869" s="34"/>
      <c r="BC869" s="34"/>
    </row>
    <row r="870" spans="3:55" ht="12.95" customHeight="1">
      <c r="J870" s="45" t="s">
        <v>519</v>
      </c>
      <c r="K870" s="5"/>
      <c r="L870" s="5"/>
      <c r="M870" s="5"/>
      <c r="N870" s="5"/>
      <c r="O870" s="5"/>
      <c r="P870" s="5"/>
      <c r="Q870" s="5"/>
      <c r="R870" s="5"/>
      <c r="S870" s="5"/>
      <c r="T870" s="5"/>
      <c r="U870" s="5"/>
      <c r="V870" s="46"/>
      <c r="W870" s="1482"/>
      <c r="X870" s="1482"/>
      <c r="Y870" s="1482"/>
      <c r="Z870" s="1482"/>
      <c r="AA870" s="1482"/>
      <c r="AB870" s="1482"/>
      <c r="AC870" s="1482"/>
      <c r="AU870" s="4"/>
      <c r="AZ870" s="34"/>
      <c r="BA870" s="34"/>
      <c r="BB870" s="34"/>
      <c r="BC870" s="34"/>
    </row>
    <row r="871" spans="3:55" ht="12.95" customHeight="1">
      <c r="J871" s="45" t="s">
        <v>170</v>
      </c>
      <c r="K871" s="5"/>
      <c r="L871" s="5"/>
      <c r="M871" s="1593" t="s">
        <v>334</v>
      </c>
      <c r="N871" s="1594"/>
      <c r="O871" s="1594"/>
      <c r="P871" s="1594"/>
      <c r="Q871" s="1594"/>
      <c r="R871" s="1594"/>
      <c r="S871" s="1594"/>
      <c r="T871" s="1594"/>
      <c r="U871" s="1594"/>
      <c r="V871" s="1595"/>
      <c r="W871" s="1482"/>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SUM(W865:W871)</f>
        <v>23733</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593" t="s">
        <v>334</v>
      </c>
      <c r="N874" s="1594"/>
      <c r="O874" s="1594"/>
      <c r="P874" s="1594"/>
      <c r="Q874" s="1594"/>
      <c r="R874" s="1594"/>
      <c r="S874" s="1594"/>
      <c r="T874" s="1594"/>
      <c r="U874" s="1594"/>
      <c r="V874" s="1595"/>
      <c r="W874" s="1467"/>
      <c r="X874" s="1468"/>
      <c r="Y874" s="1468"/>
      <c r="Z874" s="1468"/>
      <c r="AA874" s="1468"/>
      <c r="AB874" s="1468"/>
      <c r="AC874" s="1469"/>
      <c r="AD874" s="533"/>
      <c r="AV874" s="14"/>
      <c r="AW874" s="14"/>
      <c r="AX874" s="14"/>
      <c r="AY874" s="14"/>
      <c r="AZ874" s="34"/>
      <c r="BA874" s="34"/>
      <c r="BB874" s="34"/>
      <c r="BC874" s="34"/>
    </row>
    <row r="875" spans="3:55" ht="12.95" customHeight="1">
      <c r="C875" s="2" t="s">
        <v>1245</v>
      </c>
      <c r="J875" s="45" t="s">
        <v>170</v>
      </c>
      <c r="K875" s="5"/>
      <c r="L875" s="5"/>
      <c r="M875" s="1593" t="s">
        <v>334</v>
      </c>
      <c r="N875" s="1594"/>
      <c r="O875" s="1594"/>
      <c r="P875" s="1594"/>
      <c r="Q875" s="1594"/>
      <c r="R875" s="1594"/>
      <c r="S875" s="1594"/>
      <c r="T875" s="1594"/>
      <c r="U875" s="1594"/>
      <c r="V875" s="1595"/>
      <c r="W875" s="1467"/>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194394.56</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6">
        <f>O797+O777+G753</f>
        <v>33</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5890</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f>+'Sources and Uses Budget'!C75</f>
        <v>203000</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9"/>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28500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350*33</f>
        <v>11550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6">
        <v>4000</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c r="AD891" s="1468"/>
      <c r="AE891" s="1468"/>
      <c r="AF891" s="1468"/>
      <c r="AG891" s="1468"/>
      <c r="AH891" s="1469"/>
      <c r="AZ891" s="34"/>
      <c r="BA891" s="34"/>
      <c r="BB891" s="34"/>
      <c r="BC891" s="34"/>
    </row>
    <row r="892" spans="3:55" ht="12.95" hidden="1" customHeight="1">
      <c r="C892" s="1449" t="s">
        <v>2233</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8"/>
      <c r="AD893" s="1468"/>
      <c r="AE893" s="1468"/>
      <c r="AF893" s="1468"/>
      <c r="AG893" s="1468"/>
      <c r="AH893" s="1469"/>
      <c r="AZ893" s="34"/>
      <c r="BA893" s="34"/>
      <c r="BB893" s="34"/>
      <c r="BC893" s="34"/>
    </row>
    <row r="894" spans="3:55" ht="12.95" customHeight="1">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2"/>
      <c r="AD894" s="1482"/>
      <c r="AE894" s="1482"/>
      <c r="AF894" s="1482"/>
      <c r="AG894" s="1482"/>
      <c r="AH894" s="1482"/>
      <c r="AZ894" s="34"/>
      <c r="BA894" s="34"/>
      <c r="BB894" s="34"/>
      <c r="BC894" s="34"/>
    </row>
    <row r="895" spans="3:55" ht="12.95" customHeight="1">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2"/>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f>
        <v>7500000</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f>+AM556</f>
        <v>8500000</v>
      </c>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2193</v>
      </c>
      <c r="G926" s="1602"/>
      <c r="H926" s="1602"/>
      <c r="I926" s="1602"/>
      <c r="J926" s="1602"/>
      <c r="K926" s="1602"/>
      <c r="L926" s="1602"/>
      <c r="M926" s="1602"/>
      <c r="N926" s="1602"/>
      <c r="O926" s="1602"/>
      <c r="P926" s="1602"/>
      <c r="Q926" s="1602"/>
      <c r="R926" s="1602"/>
      <c r="S926" s="1602"/>
      <c r="T926" s="1603"/>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1" t="s">
        <v>680</v>
      </c>
      <c r="G927" s="1602"/>
      <c r="H927" s="1602"/>
      <c r="I927" s="1602"/>
      <c r="J927" s="1602"/>
      <c r="K927" s="1602"/>
      <c r="L927" s="1602"/>
      <c r="M927" s="1602"/>
      <c r="N927" s="1602"/>
      <c r="O927" s="1602"/>
      <c r="P927" s="1602"/>
      <c r="Q927" s="1602"/>
      <c r="R927" s="1602"/>
      <c r="S927" s="1602"/>
      <c r="T927" s="1603"/>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2194</v>
      </c>
      <c r="G928" s="1602"/>
      <c r="H928" s="1602"/>
      <c r="I928" s="1602"/>
      <c r="J928" s="1602"/>
      <c r="K928" s="1602"/>
      <c r="L928" s="1602"/>
      <c r="M928" s="1602"/>
      <c r="N928" s="1602"/>
      <c r="O928" s="1602"/>
      <c r="P928" s="1602"/>
      <c r="Q928" s="1602"/>
      <c r="R928" s="1602"/>
      <c r="S928" s="1602"/>
      <c r="T928" s="1603"/>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2195</v>
      </c>
      <c r="G929" s="1602"/>
      <c r="H929" s="1602"/>
      <c r="I929" s="1602"/>
      <c r="J929" s="1602"/>
      <c r="K929" s="1602"/>
      <c r="L929" s="1602"/>
      <c r="M929" s="1602"/>
      <c r="N929" s="1602"/>
      <c r="O929" s="1602"/>
      <c r="P929" s="1602"/>
      <c r="Q929" s="1602"/>
      <c r="R929" s="1602"/>
      <c r="S929" s="1602"/>
      <c r="T929" s="1603"/>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2196</v>
      </c>
      <c r="G930" s="1602"/>
      <c r="H930" s="1602"/>
      <c r="I930" s="1602"/>
      <c r="J930" s="1602"/>
      <c r="K930" s="1602"/>
      <c r="L930" s="1602"/>
      <c r="M930" s="1602"/>
      <c r="N930" s="1602"/>
      <c r="O930" s="1602"/>
      <c r="P930" s="1602"/>
      <c r="Q930" s="1602"/>
      <c r="R930" s="1602"/>
      <c r="S930" s="1602"/>
      <c r="T930" s="1603"/>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2197</v>
      </c>
      <c r="G931" s="1602"/>
      <c r="H931" s="1602"/>
      <c r="I931" s="1602"/>
      <c r="J931" s="1602"/>
      <c r="K931" s="1602"/>
      <c r="L931" s="1602"/>
      <c r="M931" s="1602"/>
      <c r="N931" s="1602"/>
      <c r="O931" s="1602"/>
      <c r="P931" s="1602"/>
      <c r="Q931" s="1602"/>
      <c r="R931" s="1602"/>
      <c r="S931" s="1602"/>
      <c r="T931" s="1603"/>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2198</v>
      </c>
      <c r="G932" s="1602"/>
      <c r="H932" s="1602"/>
      <c r="I932" s="1602"/>
      <c r="J932" s="1602"/>
      <c r="K932" s="1602"/>
      <c r="L932" s="1602"/>
      <c r="M932" s="1602"/>
      <c r="N932" s="1602"/>
      <c r="O932" s="1602"/>
      <c r="P932" s="1602"/>
      <c r="Q932" s="1602"/>
      <c r="R932" s="1602"/>
      <c r="S932" s="1602"/>
      <c r="T932" s="1603"/>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39" t="s">
        <v>2202</v>
      </c>
      <c r="G936" s="1640"/>
      <c r="H936" s="1640"/>
      <c r="I936" s="1640"/>
      <c r="J936" s="1640"/>
      <c r="K936" s="1640"/>
      <c r="L936" s="1640"/>
      <c r="M936" s="1640"/>
      <c r="N936" s="1640"/>
      <c r="O936" s="1640"/>
      <c r="P936" s="1640"/>
      <c r="Q936" s="1640"/>
      <c r="R936" s="1640"/>
      <c r="S936" s="1640"/>
      <c r="T936" s="1641"/>
      <c r="U936" s="1402" t="s">
        <v>592</v>
      </c>
      <c r="V936" s="1403"/>
      <c r="W936" s="1403"/>
      <c r="X936" s="1403"/>
      <c r="Y936" s="1403"/>
      <c r="Z936" s="1404"/>
      <c r="AA936" s="1408"/>
      <c r="AB936" s="1409"/>
      <c r="AC936" s="1409"/>
      <c r="AD936" s="1409"/>
      <c r="AE936" s="1409"/>
      <c r="AF936" s="1410"/>
      <c r="AZ936" s="30"/>
      <c r="BA936" s="14"/>
    </row>
    <row r="937" spans="6:55" ht="12.95" customHeight="1">
      <c r="F937" s="1639" t="s">
        <v>2203</v>
      </c>
      <c r="G937" s="1640"/>
      <c r="H937" s="1640"/>
      <c r="I937" s="1640"/>
      <c r="J937" s="1640"/>
      <c r="K937" s="1640"/>
      <c r="L937" s="1640"/>
      <c r="M937" s="1640"/>
      <c r="N937" s="1640"/>
      <c r="O937" s="1640"/>
      <c r="P937" s="1640"/>
      <c r="Q937" s="1640"/>
      <c r="R937" s="1640"/>
      <c r="S937" s="1640"/>
      <c r="T937" s="1641"/>
      <c r="U937" s="1402" t="s">
        <v>592</v>
      </c>
      <c r="V937" s="1403"/>
      <c r="W937" s="1403"/>
      <c r="X937" s="1403"/>
      <c r="Y937" s="1403"/>
      <c r="Z937" s="1404"/>
      <c r="AA937" s="1408"/>
      <c r="AB937" s="1409"/>
      <c r="AC937" s="1409"/>
      <c r="AD937" s="1409"/>
      <c r="AE937" s="1409"/>
      <c r="AF937" s="1410"/>
      <c r="AZ937" s="30"/>
      <c r="BA937" s="30"/>
    </row>
    <row r="938" spans="6:55" ht="12.95" customHeight="1">
      <c r="F938" s="1601" t="s">
        <v>2199</v>
      </c>
      <c r="G938" s="1602"/>
      <c r="H938" s="1602"/>
      <c r="I938" s="1602"/>
      <c r="J938" s="1602"/>
      <c r="K938" s="1602"/>
      <c r="L938" s="1602"/>
      <c r="M938" s="1602"/>
      <c r="N938" s="1602"/>
      <c r="O938" s="1602"/>
      <c r="P938" s="1602"/>
      <c r="Q938" s="1602"/>
      <c r="R938" s="1602"/>
      <c r="S938" s="1602"/>
      <c r="T938" s="1603"/>
      <c r="U938" s="1402" t="s">
        <v>592</v>
      </c>
      <c r="V938" s="1403"/>
      <c r="W938" s="1403"/>
      <c r="X938" s="1403"/>
      <c r="Y938" s="1403"/>
      <c r="Z938" s="1404"/>
      <c r="AA938" s="1408"/>
      <c r="AB938" s="1409"/>
      <c r="AC938" s="1409"/>
      <c r="AD938" s="1409"/>
      <c r="AE938" s="1409"/>
      <c r="AF938" s="1410"/>
      <c r="AZ938" s="30"/>
      <c r="BA938" s="30"/>
    </row>
    <row r="939" spans="6:55" ht="12.95" customHeight="1">
      <c r="F939" s="1601" t="s">
        <v>2200</v>
      </c>
      <c r="G939" s="1602"/>
      <c r="H939" s="1602"/>
      <c r="I939" s="1602"/>
      <c r="J939" s="1602"/>
      <c r="K939" s="1602"/>
      <c r="L939" s="1602"/>
      <c r="M939" s="1602"/>
      <c r="N939" s="1602"/>
      <c r="O939" s="1602"/>
      <c r="P939" s="1602"/>
      <c r="Q939" s="1602"/>
      <c r="R939" s="1602"/>
      <c r="S939" s="1602"/>
      <c r="T939" s="1603"/>
      <c r="U939" s="1402" t="s">
        <v>592</v>
      </c>
      <c r="V939" s="1403"/>
      <c r="W939" s="1403"/>
      <c r="X939" s="1403"/>
      <c r="Y939" s="1403"/>
      <c r="Z939" s="1404"/>
      <c r="AA939" s="1408"/>
      <c r="AB939" s="1409"/>
      <c r="AC939" s="1409"/>
      <c r="AD939" s="1409"/>
      <c r="AE939" s="1409"/>
      <c r="AF939" s="1410"/>
      <c r="AZ939" s="30"/>
      <c r="BA939" s="30"/>
    </row>
    <row r="940" spans="6:55" ht="12.95" customHeight="1">
      <c r="F940" s="1601" t="s">
        <v>2201</v>
      </c>
      <c r="G940" s="1602"/>
      <c r="H940" s="1602"/>
      <c r="I940" s="1602"/>
      <c r="J940" s="1602"/>
      <c r="K940" s="1602"/>
      <c r="L940" s="1602"/>
      <c r="M940" s="1602"/>
      <c r="N940" s="1602"/>
      <c r="O940" s="1602"/>
      <c r="P940" s="1602"/>
      <c r="Q940" s="1602"/>
      <c r="R940" s="1602"/>
      <c r="S940" s="1602"/>
      <c r="T940" s="1603"/>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2204</v>
      </c>
      <c r="G942" s="1640"/>
      <c r="H942" s="1640"/>
      <c r="I942" s="1640"/>
      <c r="J942" s="1640"/>
      <c r="K942" s="1640"/>
      <c r="L942" s="1640"/>
      <c r="M942" s="1640"/>
      <c r="N942" s="1640"/>
      <c r="O942" s="1640"/>
      <c r="P942" s="1640"/>
      <c r="Q942" s="1640"/>
      <c r="R942" s="1640"/>
      <c r="S942" s="1640"/>
      <c r="T942" s="1641"/>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2205</v>
      </c>
      <c r="G944" s="1640"/>
      <c r="H944" s="1640"/>
      <c r="I944" s="1640"/>
      <c r="J944" s="1640"/>
      <c r="K944" s="1640"/>
      <c r="L944" s="1640"/>
      <c r="M944" s="1640"/>
      <c r="N944" s="1640"/>
      <c r="O944" s="1640"/>
      <c r="P944" s="1640"/>
      <c r="Q944" s="1640"/>
      <c r="R944" s="1640"/>
      <c r="S944" s="1640"/>
      <c r="T944" s="1641"/>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2192</v>
      </c>
      <c r="G946" s="1602"/>
      <c r="H946" s="1603"/>
      <c r="I946" s="1593" t="s">
        <v>334</v>
      </c>
      <c r="J946" s="1594"/>
      <c r="K946" s="1594"/>
      <c r="L946" s="1594"/>
      <c r="M946" s="1594"/>
      <c r="N946" s="1594"/>
      <c r="O946" s="1594"/>
      <c r="P946" s="1594"/>
      <c r="Q946" s="1594"/>
      <c r="R946" s="1594"/>
      <c r="S946" s="1594"/>
      <c r="T946" s="1595"/>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2655</v>
      </c>
      <c r="J947" s="1594"/>
      <c r="K947" s="1594"/>
      <c r="L947" s="1594"/>
      <c r="M947" s="1594"/>
      <c r="N947" s="1594"/>
      <c r="O947" s="1594"/>
      <c r="P947" s="1594"/>
      <c r="Q947" s="1594"/>
      <c r="R947" s="1594"/>
      <c r="S947" s="1594"/>
      <c r="T947" s="1595"/>
      <c r="U947" s="1402" t="s">
        <v>546</v>
      </c>
      <c r="V947" s="1403"/>
      <c r="W947" s="1403"/>
      <c r="X947" s="1403"/>
      <c r="Y947" s="1403"/>
      <c r="Z947" s="1404"/>
      <c r="AA947" s="1408">
        <f>+AM555</f>
        <v>3000000</v>
      </c>
      <c r="AB947" s="1409"/>
      <c r="AC947" s="1409"/>
      <c r="AD947" s="1409"/>
      <c r="AE947" s="1409"/>
      <c r="AF947" s="1410"/>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7" t="s">
        <v>334</v>
      </c>
      <c r="J949" s="1538"/>
      <c r="K949" s="1538"/>
      <c r="L949" s="1538"/>
      <c r="M949" s="1538"/>
      <c r="N949" s="1538"/>
      <c r="O949" s="1538"/>
      <c r="P949" s="1538"/>
      <c r="Q949" s="1538"/>
      <c r="R949" s="1538"/>
      <c r="S949" s="1538"/>
      <c r="T949" s="1539"/>
      <c r="U949" s="1402" t="s">
        <v>592</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458"/>
      <c r="O956" s="1458"/>
      <c r="P956" s="1458"/>
      <c r="Q956" s="1458"/>
      <c r="R956" s="1458"/>
      <c r="S956" s="1547"/>
      <c r="U956" s="66" t="s">
        <v>12</v>
      </c>
      <c r="V956" s="5"/>
      <c r="W956" s="5"/>
      <c r="X956" s="5"/>
      <c r="Y956" s="5"/>
      <c r="Z956" s="5"/>
      <c r="AA956" s="5"/>
      <c r="AB956" s="5"/>
      <c r="AC956" s="5"/>
      <c r="AD956" s="46"/>
      <c r="AE956" s="1546"/>
      <c r="AF956" s="1458"/>
      <c r="AG956" s="1458"/>
      <c r="AH956" s="1458"/>
      <c r="AI956" s="1458"/>
      <c r="AJ956" s="1458"/>
      <c r="AK956" s="1547"/>
      <c r="AZ956" s="34"/>
      <c r="BA956" s="34"/>
      <c r="BB956" s="34"/>
      <c r="BC956" s="34"/>
    </row>
    <row r="957" spans="1:55" ht="12.95" customHeight="1">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1662</v>
      </c>
      <c r="D962" s="5"/>
      <c r="E962" s="5"/>
      <c r="F962" s="5"/>
      <c r="G962" s="5"/>
      <c r="H962" s="5"/>
      <c r="I962" s="5"/>
      <c r="J962" s="5"/>
      <c r="K962" s="5"/>
      <c r="L962" s="46"/>
      <c r="M962" s="1405"/>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1"/>
      <c r="N967" s="1532"/>
      <c r="O967" s="1532"/>
      <c r="P967" s="1532"/>
      <c r="Q967" s="1532"/>
      <c r="R967" s="1532"/>
      <c r="S967" s="1533"/>
      <c r="T967" s="66" t="s">
        <v>791</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1"/>
      <c r="N968" s="1532"/>
      <c r="O968" s="1532"/>
      <c r="P968" s="1532"/>
      <c r="Q968" s="1532"/>
      <c r="R968" s="1532"/>
      <c r="S968" s="1533"/>
      <c r="T968" s="66" t="s">
        <v>790</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1"/>
      <c r="N973" s="1532"/>
      <c r="O973" s="1532"/>
      <c r="P973" s="1532"/>
      <c r="Q973" s="1532"/>
      <c r="R973" s="1532"/>
      <c r="S973" s="1533"/>
      <c r="T973" s="1557"/>
      <c r="U973" s="1558"/>
      <c r="V973" s="1558"/>
      <c r="W973" s="1558"/>
      <c r="X973" s="1558"/>
      <c r="Y973" s="1558"/>
      <c r="Z973" s="1559"/>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384234</v>
      </c>
      <c r="S986" s="1552"/>
      <c r="T986" s="1552"/>
      <c r="U986" s="1552"/>
      <c r="V986" s="1552"/>
      <c r="W986" s="1552"/>
      <c r="X986" s="1552"/>
      <c r="Y986" s="1552"/>
      <c r="Z986" s="1552"/>
      <c r="AA986" s="1552"/>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443018</v>
      </c>
      <c r="S987" s="1552"/>
      <c r="T987" s="1552"/>
      <c r="U987" s="1552"/>
      <c r="V987" s="1552"/>
      <c r="W987" s="1552"/>
      <c r="X987" s="1552"/>
      <c r="Y987" s="1552"/>
      <c r="Z987" s="1552"/>
      <c r="AA987" s="1552"/>
      <c r="AB987" s="1390">
        <f>CU802</f>
        <v>0</v>
      </c>
      <c r="AC987" s="1391"/>
      <c r="AD987" s="1391"/>
      <c r="AE987" s="1391"/>
      <c r="AF987" s="1391"/>
      <c r="AG987" s="1391"/>
      <c r="AH987" s="1391"/>
      <c r="AI987" s="1392"/>
      <c r="AJ987" s="1489">
        <f>IF(ISERROR((R987*AB987)),0,(R987*AB987))</f>
        <v>0</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534400</v>
      </c>
      <c r="S988" s="1552"/>
      <c r="T988" s="1552"/>
      <c r="U988" s="1552"/>
      <c r="V988" s="1552"/>
      <c r="W988" s="1552"/>
      <c r="X988" s="1552"/>
      <c r="Y988" s="1552"/>
      <c r="Z988" s="1552"/>
      <c r="AA988" s="1552"/>
      <c r="AB988" s="1390">
        <f>CZ802</f>
        <v>0</v>
      </c>
      <c r="AC988" s="1391"/>
      <c r="AD988" s="1391"/>
      <c r="AE988" s="1391"/>
      <c r="AF988" s="1391"/>
      <c r="AG988" s="1391"/>
      <c r="AH988" s="1391"/>
      <c r="AI988" s="1392"/>
      <c r="AJ988" s="1489">
        <f>IF(ISERROR((R988*AB988)),0,(R988*AB988))</f>
        <v>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684032</v>
      </c>
      <c r="S989" s="1552"/>
      <c r="T989" s="1552"/>
      <c r="U989" s="1552"/>
      <c r="V989" s="1552"/>
      <c r="W989" s="1552"/>
      <c r="X989" s="1552"/>
      <c r="Y989" s="1552"/>
      <c r="Z989" s="1552"/>
      <c r="AA989" s="1552"/>
      <c r="AB989" s="1390">
        <f>DE802</f>
        <v>33</v>
      </c>
      <c r="AC989" s="1391"/>
      <c r="AD989" s="1391"/>
      <c r="AE989" s="1391"/>
      <c r="AF989" s="1391"/>
      <c r="AG989" s="1391"/>
      <c r="AH989" s="1391"/>
      <c r="AI989" s="1392"/>
      <c r="AJ989" s="1489">
        <f>IF(ISERROR((R989*AB989)),0,(R989*AB989))</f>
        <v>22573056</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762054</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33</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9">
        <f>SUM(AJ986:AQ990)</f>
        <v>22573056</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667</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669</v>
      </c>
      <c r="D994" s="1505" t="s">
        <v>1221</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670</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2235</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1287</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670</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1285</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32</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0.12</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0.12</v>
      </c>
      <c r="AZ1006" s="34"/>
      <c r="BB1006" s="34"/>
    </row>
    <row r="1007" spans="1:55" ht="12.95" customHeight="1">
      <c r="A1007" s="14"/>
      <c r="B1007" s="255"/>
      <c r="C1007" s="80" t="s">
        <v>673</v>
      </c>
      <c r="D1007" s="1495" t="s">
        <v>1684</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670</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1286</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1288</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670</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1289</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2607</v>
      </c>
    </row>
    <row r="1013" spans="1:52" ht="12.95" customHeight="1">
      <c r="A1013" s="14"/>
      <c r="B1013" s="79"/>
      <c r="C1013" s="80" t="s">
        <v>215</v>
      </c>
      <c r="D1013" s="1495" t="s">
        <v>1290</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670</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1291</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2236</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670</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1292</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1293</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670</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1294</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2606</v>
      </c>
      <c r="AY1024" s="201">
        <f>IF(SUM(AY1013:AY1023)&lt;=0.2,SUM(AY1013:AY1023),0.2)</f>
        <v>0</v>
      </c>
    </row>
    <row r="1025" spans="1:57" ht="12.95" customHeight="1">
      <c r="A1025" s="14"/>
      <c r="B1025" s="79"/>
      <c r="C1025" s="80" t="s">
        <v>229</v>
      </c>
      <c r="D1025" s="1495" t="s">
        <v>1295</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546</v>
      </c>
      <c r="AH1025" s="1504"/>
      <c r="AI1025" s="87"/>
      <c r="AJ1025" s="1393">
        <f>ROUND(IF(AG1025="Yes",AF1027,0),0)</f>
        <v>1560174</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1691</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6">
        <v>1560174</v>
      </c>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1296</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670</v>
      </c>
      <c r="AH1029" s="1504"/>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1297</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5" t="s">
        <v>1687</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670</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5" t="s">
        <v>1689</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2" t="s">
        <v>670</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0.25</v>
      </c>
      <c r="BB1039" s="3" t="s">
        <v>2493</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2490</v>
      </c>
    </row>
    <row r="1041" spans="1:56" ht="12.95" customHeight="1">
      <c r="A1041" s="14"/>
      <c r="B1041" s="79"/>
      <c r="C1041" s="131" t="s">
        <v>1011</v>
      </c>
      <c r="D1041" s="1495" t="s">
        <v>1298</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670</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2491</v>
      </c>
    </row>
    <row r="1042" spans="1:56" ht="12.95"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2492</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1685</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2" t="str">
        <f>IF(X1048&gt;0,"Yes","No")</f>
        <v>Yes</v>
      </c>
      <c r="AH1045" s="1573"/>
      <c r="AI1045" s="87"/>
      <c r="AJ1045" s="1393">
        <f>IF((X1048=0),0,AY1005*AJ992)</f>
        <v>2708766.7199999997</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5" customHeight="1">
      <c r="A1046" s="14"/>
      <c r="B1046" s="73"/>
      <c r="C1046" s="442"/>
      <c r="D1046" s="1508" t="s">
        <v>1300</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3263370</v>
      </c>
      <c r="BA1046" s="1182">
        <f>IF(BA1040,20%,15%)</f>
        <v>0.15</v>
      </c>
      <c r="BB1046" s="3" t="s">
        <v>2479</v>
      </c>
      <c r="BC1046" s="3" t="s">
        <v>2480</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5" customHeight="1">
      <c r="A1048" s="14"/>
      <c r="B1048" s="77"/>
      <c r="C1048" s="78"/>
      <c r="D1048" s="132" t="s">
        <v>973</v>
      </c>
      <c r="E1048" s="133"/>
      <c r="F1048" s="133"/>
      <c r="G1048" s="133"/>
      <c r="H1048" s="133"/>
      <c r="I1048" s="1570">
        <f>AY1003</f>
        <v>32</v>
      </c>
      <c r="J1048" s="1571"/>
      <c r="K1048" s="7"/>
      <c r="L1048" s="133"/>
      <c r="M1048" s="133"/>
      <c r="N1048" s="133"/>
      <c r="O1048" s="133"/>
      <c r="P1048" s="133"/>
      <c r="Q1048" s="133"/>
      <c r="R1048" s="133"/>
      <c r="S1048" s="133"/>
      <c r="T1048" s="133"/>
      <c r="U1048" s="133"/>
      <c r="V1048" s="134" t="s">
        <v>974</v>
      </c>
      <c r="W1048" s="48"/>
      <c r="X1048" s="1568">
        <f>CI753</f>
        <v>4</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2479</v>
      </c>
      <c r="BC1048" s="3" t="s">
        <v>2482</v>
      </c>
      <c r="BD1048" s="3"/>
    </row>
    <row r="1049" spans="1:56" ht="12.95" customHeight="1">
      <c r="A1049" s="14"/>
      <c r="B1049" s="79"/>
      <c r="C1049" s="131" t="s">
        <v>1686</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2" t="str">
        <f>IF(X1052&gt;0,"Yes","No")</f>
        <v>Yes</v>
      </c>
      <c r="AH1049" s="1573"/>
      <c r="AI1049" s="83"/>
      <c r="AJ1049" s="1393">
        <f>IF((X1052=0),0,(2*AY1006)*AJ992)</f>
        <v>5417533.4399999995</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2479</v>
      </c>
      <c r="BC1049" s="3" t="s">
        <v>2483</v>
      </c>
      <c r="BD1049" s="3"/>
    </row>
    <row r="1050" spans="1:56" ht="12.95" customHeight="1">
      <c r="A1050" s="14"/>
      <c r="B1050" s="73"/>
      <c r="C1050" s="442"/>
      <c r="D1050" s="1508" t="s">
        <v>1299</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70">
        <f>AY1003</f>
        <v>32</v>
      </c>
      <c r="J1052" s="1571"/>
      <c r="K1052" s="14"/>
      <c r="L1052" s="133"/>
      <c r="M1052" s="133"/>
      <c r="N1052" s="133"/>
      <c r="O1052" s="133"/>
      <c r="P1052" s="133"/>
      <c r="Q1052" s="133"/>
      <c r="R1052" s="133"/>
      <c r="S1052" s="133"/>
      <c r="T1052" s="133"/>
      <c r="U1052" s="133"/>
      <c r="V1052" s="134" t="s">
        <v>975</v>
      </c>
      <c r="X1052" s="1568">
        <f>CM753</f>
        <v>4</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32259530.159999996</v>
      </c>
      <c r="AK1053" s="1580"/>
      <c r="AL1053" s="1580"/>
      <c r="AM1053" s="1580"/>
      <c r="AN1053" s="1580"/>
      <c r="AO1053" s="1580"/>
      <c r="AP1053" s="1580"/>
      <c r="AQ1053" s="1581"/>
      <c r="AR1053" s="68"/>
      <c r="AS1053" s="68"/>
      <c r="AT1053" s="68"/>
      <c r="AU1053" s="68"/>
      <c r="AV1053" s="68"/>
      <c r="AW1053" s="68"/>
      <c r="AX1053" s="68"/>
      <c r="AY1053" s="68"/>
      <c r="AZ1053" s="1181">
        <v>6000000</v>
      </c>
      <c r="BA1053" s="3" t="s">
        <v>2486</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5"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5">
        <f>'Sources and Uses Budget'!S107+'Sources and Uses Budget'!T107</f>
        <v>25015800</v>
      </c>
      <c r="AB1056" s="1855"/>
      <c r="AC1056" s="1855"/>
      <c r="AD1056" s="1855"/>
      <c r="AE1056" s="1855"/>
      <c r="AF1056" s="185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3263370</v>
      </c>
      <c r="BB1056" s="3" t="s">
        <v>2488</v>
      </c>
      <c r="BC1056" s="3"/>
      <c r="BD1056" s="3"/>
    </row>
    <row r="1057" spans="1:54" ht="12.95"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6">
        <f>IFERROR((AA1056-BA1059)/(AJ1053-AJ1045-AJ1049),"")</f>
        <v>1.0050788891499398</v>
      </c>
      <c r="AB1057" s="1857"/>
      <c r="AC1057" s="1857"/>
      <c r="AD1057" s="1857"/>
      <c r="AE1057" s="1857"/>
      <c r="AF1057" s="185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9"/>
      <c r="I1058" s="1859"/>
      <c r="J1058" s="1859"/>
      <c r="K1058" s="1859"/>
      <c r="L1058" s="1859"/>
      <c r="M1058" s="1859"/>
      <c r="N1058" s="1859"/>
      <c r="O1058" s="1859"/>
      <c r="P1058" s="1859"/>
      <c r="Q1058" s="1859"/>
      <c r="R1058" s="1859"/>
      <c r="S1058" s="1859"/>
      <c r="T1058" s="1859"/>
      <c r="U1058" s="1859"/>
      <c r="V1058" s="1859"/>
      <c r="W1058" s="1859"/>
      <c r="X1058" s="1859"/>
      <c r="Y1058" s="1859"/>
      <c r="Z1058" s="1859"/>
      <c r="AA1058" s="1859"/>
      <c r="AB1058" s="1859"/>
      <c r="AC1058" s="1859"/>
      <c r="AD1058" s="1859"/>
      <c r="AE1058" s="1859"/>
      <c r="AF1058" s="1859"/>
      <c r="AG1058" s="1859"/>
      <c r="AH1058" s="1859"/>
      <c r="AI1058" s="1859"/>
      <c r="AJ1058" s="1859"/>
      <c r="AK1058" s="1859"/>
      <c r="AL1058" s="1859"/>
      <c r="AM1058" s="1859"/>
      <c r="AN1058" s="1859"/>
      <c r="AO1058" s="68"/>
      <c r="AP1058" s="68"/>
      <c r="AQ1058" s="68"/>
      <c r="AR1058" s="68"/>
      <c r="AS1058" s="68"/>
      <c r="AT1058" s="68"/>
      <c r="AU1058" s="68"/>
      <c r="AV1058" s="14"/>
      <c r="AW1058" s="14"/>
      <c r="AX1058" s="14"/>
      <c r="AY1058" s="14"/>
      <c r="BA1058" s="1185">
        <f>'Sources and Uses Budget'!$S$104+'Sources and Uses Budget'!$T$104</f>
        <v>3260000</v>
      </c>
      <c r="BB1058" s="3" t="s">
        <v>2494</v>
      </c>
    </row>
    <row r="1059" spans="1:54" ht="12.95" customHeight="1">
      <c r="A1059" s="14"/>
      <c r="B1059" s="14"/>
      <c r="C1059" s="208"/>
      <c r="D1059" s="858"/>
      <c r="E1059" s="858"/>
      <c r="F1059" s="858"/>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68"/>
      <c r="AP1059" s="68"/>
      <c r="AQ1059" s="68"/>
      <c r="AR1059" s="68"/>
      <c r="AS1059" s="68"/>
      <c r="AT1059" s="68"/>
      <c r="AU1059" s="68"/>
      <c r="AV1059" s="14"/>
      <c r="AW1059" s="14"/>
      <c r="AX1059" s="14"/>
      <c r="AY1059" s="14"/>
      <c r="BA1059" s="1186">
        <f>MAX($BA$1058-$BA$1055,0)</f>
        <v>760000</v>
      </c>
      <c r="BB1059" s="3" t="s">
        <v>2495</v>
      </c>
    </row>
    <row r="1060" spans="1:54" ht="12.95" customHeight="1">
      <c r="A1060" s="88"/>
      <c r="B1060" s="1172"/>
      <c r="C1060" s="1172"/>
      <c r="D1060" s="1172"/>
      <c r="E1060" s="1172"/>
      <c r="F1060" s="1172"/>
      <c r="G1060" s="1859"/>
      <c r="H1060" s="1859"/>
      <c r="I1060" s="1859"/>
      <c r="J1060" s="1859"/>
      <c r="K1060" s="1859"/>
      <c r="L1060" s="1859"/>
      <c r="M1060" s="1859"/>
      <c r="N1060" s="1859"/>
      <c r="O1060" s="1859"/>
      <c r="P1060" s="1859"/>
      <c r="Q1060" s="1859"/>
      <c r="R1060" s="1859"/>
      <c r="S1060" s="1859"/>
      <c r="T1060" s="1859"/>
      <c r="U1060" s="1859"/>
      <c r="V1060" s="1859"/>
      <c r="W1060" s="1859"/>
      <c r="X1060" s="1859"/>
      <c r="Y1060" s="1859"/>
      <c r="Z1060" s="1859"/>
      <c r="AA1060" s="1859"/>
      <c r="AB1060" s="1859"/>
      <c r="AC1060" s="1859"/>
      <c r="AD1060" s="1859"/>
      <c r="AE1060" s="1859"/>
      <c r="AF1060" s="1859"/>
      <c r="AG1060" s="1859"/>
      <c r="AH1060" s="1859"/>
      <c r="AI1060" s="1859"/>
      <c r="AJ1060" s="1859"/>
      <c r="AK1060" s="1859"/>
      <c r="AL1060" s="1859"/>
      <c r="AM1060" s="1859"/>
      <c r="AN1060" s="1859"/>
      <c r="AO1060" s="1172"/>
      <c r="AP1060" s="1172"/>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2238</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2242</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2243</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2239</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592</v>
      </c>
      <c r="B1103" s="1332"/>
      <c r="C1103" s="1333">
        <v>11</v>
      </c>
      <c r="D1103" s="1333"/>
      <c r="E1103" s="1334" t="s">
        <v>2241</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9" zoomScale="180" zoomScaleNormal="180" workbookViewId="0">
      <selection activeCell="E100" sqref="E10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3" t="s">
        <v>622</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374</v>
      </c>
      <c r="D2" s="138" t="s">
        <v>373</v>
      </c>
      <c r="E2" s="138" t="s">
        <v>24</v>
      </c>
      <c r="F2" s="139" t="str">
        <f>Application!B627&amp;Application!C627</f>
        <v>1)California Bank &amp; Trust</v>
      </c>
      <c r="G2" s="139" t="str">
        <f>Application!B628&amp;Application!C628</f>
        <v>2)Corporation for Better Housing - DDF</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254375</v>
      </c>
      <c r="C7" s="147">
        <v>254375</v>
      </c>
      <c r="D7" s="147"/>
      <c r="E7" s="147">
        <f>+C7</f>
        <v>254375</v>
      </c>
      <c r="F7" s="147"/>
      <c r="G7" s="147"/>
      <c r="H7" s="147"/>
      <c r="I7" s="147"/>
      <c r="J7" s="147"/>
      <c r="K7" s="147"/>
      <c r="L7" s="147"/>
      <c r="M7" s="147"/>
      <c r="N7" s="147"/>
      <c r="O7" s="147"/>
      <c r="P7" s="147"/>
      <c r="Q7" s="147"/>
      <c r="R7" s="516">
        <f>SUM(E7:Q7)</f>
        <v>254375</v>
      </c>
      <c r="S7" s="148"/>
      <c r="T7" s="148"/>
      <c r="U7" s="143"/>
    </row>
    <row r="8" spans="1:21" s="144" customFormat="1">
      <c r="A8" s="149" t="s">
        <v>594</v>
      </c>
      <c r="B8" s="146">
        <f>SUM(C8:D8)</f>
        <v>254375</v>
      </c>
      <c r="C8" s="146">
        <f t="shared" ref="C8:Q8" si="0">SUM(C4:C7)</f>
        <v>254375</v>
      </c>
      <c r="D8" s="146">
        <f t="shared" si="0"/>
        <v>0</v>
      </c>
      <c r="E8" s="146">
        <f t="shared" si="0"/>
        <v>254375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254375</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254375</v>
      </c>
      <c r="C12" s="146">
        <f t="shared" si="2"/>
        <v>254375</v>
      </c>
      <c r="D12" s="146">
        <f t="shared" si="2"/>
        <v>0</v>
      </c>
      <c r="E12" s="146">
        <f t="shared" si="2"/>
        <v>254375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254375</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3250000</v>
      </c>
      <c r="C29" s="147">
        <v>3250000</v>
      </c>
      <c r="D29" s="147"/>
      <c r="E29" s="147">
        <f>+C29</f>
        <v>3250000</v>
      </c>
      <c r="F29" s="147"/>
      <c r="G29" s="147"/>
      <c r="H29" s="147"/>
      <c r="I29" s="147"/>
      <c r="J29" s="147"/>
      <c r="K29" s="147"/>
      <c r="L29" s="147"/>
      <c r="M29" s="147"/>
      <c r="N29" s="147"/>
      <c r="O29" s="147"/>
      <c r="P29" s="147"/>
      <c r="Q29" s="147"/>
      <c r="R29" s="516">
        <f t="shared" ref="R29:R37" si="7">SUM(E29:Q29)</f>
        <v>3250000</v>
      </c>
      <c r="S29" s="147">
        <f>+R29</f>
        <v>3250000</v>
      </c>
      <c r="T29" s="147"/>
      <c r="U29" s="143"/>
    </row>
    <row r="30" spans="1:21" s="144" customFormat="1">
      <c r="A30" s="145" t="s">
        <v>600</v>
      </c>
      <c r="B30" s="146">
        <f t="shared" si="6"/>
        <v>10229789</v>
      </c>
      <c r="C30" s="147">
        <f>125867+10103922</f>
        <v>10229789</v>
      </c>
      <c r="D30" s="147"/>
      <c r="E30" s="147">
        <f>+C30-F30</f>
        <v>4754789</v>
      </c>
      <c r="F30" s="147">
        <v>5475000</v>
      </c>
      <c r="G30" s="147"/>
      <c r="H30" s="147"/>
      <c r="I30" s="147"/>
      <c r="J30" s="147"/>
      <c r="K30" s="147"/>
      <c r="L30" s="147"/>
      <c r="M30" s="147"/>
      <c r="N30" s="147"/>
      <c r="O30" s="147"/>
      <c r="P30" s="147"/>
      <c r="Q30" s="147"/>
      <c r="R30" s="516">
        <f t="shared" si="7"/>
        <v>10229789</v>
      </c>
      <c r="S30" s="147">
        <f>+R30</f>
        <v>10229789</v>
      </c>
      <c r="T30" s="147"/>
      <c r="U30" s="143"/>
    </row>
    <row r="31" spans="1:21" s="144" customFormat="1">
      <c r="A31" s="145" t="s">
        <v>601</v>
      </c>
      <c r="B31" s="146">
        <f t="shared" si="6"/>
        <v>801235</v>
      </c>
      <c r="C31" s="147">
        <v>801235</v>
      </c>
      <c r="D31" s="147"/>
      <c r="E31" s="147">
        <f>+C31</f>
        <v>801235</v>
      </c>
      <c r="F31" s="147"/>
      <c r="G31" s="147"/>
      <c r="H31" s="147"/>
      <c r="I31" s="147"/>
      <c r="J31" s="147"/>
      <c r="K31" s="147"/>
      <c r="L31" s="147"/>
      <c r="M31" s="147"/>
      <c r="N31" s="147"/>
      <c r="O31" s="147"/>
      <c r="P31" s="147"/>
      <c r="Q31" s="147"/>
      <c r="R31" s="516">
        <f t="shared" si="7"/>
        <v>801235</v>
      </c>
      <c r="S31" s="147">
        <f>+R31</f>
        <v>801235</v>
      </c>
      <c r="T31" s="147"/>
      <c r="U31" s="143"/>
    </row>
    <row r="32" spans="1:21" s="144" customFormat="1">
      <c r="A32" s="145" t="s">
        <v>137</v>
      </c>
      <c r="B32" s="146">
        <f t="shared" si="6"/>
        <v>534156</v>
      </c>
      <c r="C32" s="147">
        <v>534156</v>
      </c>
      <c r="D32" s="147"/>
      <c r="E32" s="147">
        <f>+C32</f>
        <v>534156</v>
      </c>
      <c r="F32" s="147"/>
      <c r="G32" s="147"/>
      <c r="H32" s="147"/>
      <c r="I32" s="147"/>
      <c r="J32" s="147"/>
      <c r="K32" s="147"/>
      <c r="L32" s="147"/>
      <c r="M32" s="147"/>
      <c r="N32" s="147"/>
      <c r="O32" s="147"/>
      <c r="P32" s="147"/>
      <c r="Q32" s="147"/>
      <c r="R32" s="516">
        <f t="shared" si="7"/>
        <v>534156</v>
      </c>
      <c r="S32" s="147">
        <f>+R32</f>
        <v>534156</v>
      </c>
      <c r="T32" s="147"/>
      <c r="U32" s="143"/>
    </row>
    <row r="33" spans="1:21" s="144" customFormat="1">
      <c r="A33" s="145" t="s">
        <v>138</v>
      </c>
      <c r="B33" s="146">
        <f t="shared" si="6"/>
        <v>534156</v>
      </c>
      <c r="C33" s="147">
        <f>+C32</f>
        <v>534156</v>
      </c>
      <c r="D33" s="147"/>
      <c r="E33" s="147">
        <f>+C33</f>
        <v>534156</v>
      </c>
      <c r="F33" s="147"/>
      <c r="G33" s="147"/>
      <c r="H33" s="147"/>
      <c r="I33" s="147"/>
      <c r="J33" s="147"/>
      <c r="K33" s="147"/>
      <c r="L33" s="147"/>
      <c r="M33" s="147"/>
      <c r="N33" s="147"/>
      <c r="O33" s="147"/>
      <c r="P33" s="147"/>
      <c r="Q33" s="147"/>
      <c r="R33" s="516">
        <f t="shared" si="7"/>
        <v>534156</v>
      </c>
      <c r="S33" s="147">
        <f>+R33</f>
        <v>534156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15349336</v>
      </c>
      <c r="C38" s="146">
        <f>SUM(C29:C37)</f>
        <v>15349336</v>
      </c>
      <c r="D38" s="146">
        <f t="shared" ref="D38:Q38" si="8">SUM(D29:D37)</f>
        <v>0</v>
      </c>
      <c r="E38" s="146">
        <f t="shared" si="8"/>
        <v>9874336</v>
      </c>
      <c r="F38" s="146">
        <f t="shared" si="8"/>
        <v>5475000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15349336</v>
      </c>
      <c r="S38" s="150">
        <f>SUM(S29:S37)</f>
        <v>15349336</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330000</v>
      </c>
      <c r="C40" s="147">
        <v>330000</v>
      </c>
      <c r="D40" s="147"/>
      <c r="E40" s="147">
        <f>+C40</f>
        <v>330000</v>
      </c>
      <c r="F40" s="147"/>
      <c r="G40" s="147"/>
      <c r="H40" s="147"/>
      <c r="I40" s="147"/>
      <c r="J40" s="147"/>
      <c r="K40" s="147"/>
      <c r="L40" s="147"/>
      <c r="M40" s="147"/>
      <c r="N40" s="147"/>
      <c r="O40" s="147"/>
      <c r="P40" s="147"/>
      <c r="Q40" s="147"/>
      <c r="R40" s="516">
        <f>SUM(E40:Q40)</f>
        <v>330000</v>
      </c>
      <c r="S40" s="147">
        <f>+R40</f>
        <v>330000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330000</v>
      </c>
      <c r="C42" s="146">
        <f>SUM(C39:C41)</f>
        <v>330000</v>
      </c>
      <c r="D42" s="146">
        <f>SUM(D39:D41)</f>
        <v>0</v>
      </c>
      <c r="E42" s="146">
        <f t="shared" ref="E42:T42" si="9">SUM(E40:E41)</f>
        <v>330000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330000</v>
      </c>
      <c r="S42" s="150">
        <f t="shared" si="9"/>
        <v>330000</v>
      </c>
      <c r="T42" s="150">
        <f t="shared" si="9"/>
        <v>0</v>
      </c>
      <c r="U42" s="143"/>
    </row>
    <row r="43" spans="1:21" s="144" customFormat="1">
      <c r="A43" s="149" t="s">
        <v>148</v>
      </c>
      <c r="B43" s="146">
        <f>SUM(C43:D43)</f>
        <v>414000</v>
      </c>
      <c r="C43" s="147">
        <f>264000+75000+75000</f>
        <v>414000</v>
      </c>
      <c r="D43" s="147"/>
      <c r="E43" s="147">
        <f>+C43</f>
        <v>414000</v>
      </c>
      <c r="F43" s="147"/>
      <c r="G43" s="147"/>
      <c r="H43" s="147"/>
      <c r="I43" s="147"/>
      <c r="J43" s="147"/>
      <c r="K43" s="147"/>
      <c r="L43" s="147"/>
      <c r="M43" s="147"/>
      <c r="N43" s="147"/>
      <c r="O43" s="147"/>
      <c r="P43" s="147"/>
      <c r="Q43" s="147"/>
      <c r="R43" s="516">
        <f>SUM(E43:Q43)</f>
        <v>414000</v>
      </c>
      <c r="S43" s="147">
        <f>+R43</f>
        <v>414000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1470791</v>
      </c>
      <c r="C45" s="147">
        <f>987000+483791</f>
        <v>1470791</v>
      </c>
      <c r="D45" s="147"/>
      <c r="E45" s="147">
        <f>+C45</f>
        <v>1470791</v>
      </c>
      <c r="F45" s="147"/>
      <c r="G45" s="147"/>
      <c r="H45" s="147"/>
      <c r="I45" s="147"/>
      <c r="J45" s="147"/>
      <c r="K45" s="147"/>
      <c r="L45" s="147"/>
      <c r="M45" s="147"/>
      <c r="N45" s="147"/>
      <c r="O45" s="147"/>
      <c r="P45" s="147"/>
      <c r="Q45" s="147"/>
      <c r="R45" s="516">
        <f t="shared" ref="R45:R53" si="11">SUM(E45:Q45)</f>
        <v>1470791</v>
      </c>
      <c r="S45" s="147">
        <f>592200+290300-2</f>
        <v>882498</v>
      </c>
      <c r="T45" s="147"/>
      <c r="U45" s="143"/>
    </row>
    <row r="46" spans="1:21" s="144" customFormat="1">
      <c r="A46" s="145" t="s">
        <v>151</v>
      </c>
      <c r="B46" s="146">
        <f t="shared" si="10"/>
        <v>190000</v>
      </c>
      <c r="C46" s="147">
        <f>105000+85000</f>
        <v>190000</v>
      </c>
      <c r="D46" s="147"/>
      <c r="E46" s="147">
        <f t="shared" ref="E46:E52" si="12">+C46</f>
        <v>190000</v>
      </c>
      <c r="F46" s="147"/>
      <c r="G46" s="147"/>
      <c r="H46" s="147"/>
      <c r="I46" s="147"/>
      <c r="J46" s="147"/>
      <c r="K46" s="147"/>
      <c r="L46" s="147"/>
      <c r="M46" s="147"/>
      <c r="N46" s="147"/>
      <c r="O46" s="147"/>
      <c r="P46" s="147"/>
      <c r="Q46" s="147"/>
      <c r="R46" s="516">
        <f t="shared" si="11"/>
        <v>190000</v>
      </c>
      <c r="S46" s="147">
        <f>+R46</f>
        <v>190000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155000</v>
      </c>
      <c r="C49" s="147">
        <v>155000</v>
      </c>
      <c r="D49" s="147"/>
      <c r="E49" s="147">
        <f t="shared" si="12"/>
        <v>155000</v>
      </c>
      <c r="F49" s="147"/>
      <c r="G49" s="147"/>
      <c r="H49" s="147"/>
      <c r="I49" s="147"/>
      <c r="J49" s="147"/>
      <c r="K49" s="147"/>
      <c r="L49" s="147"/>
      <c r="M49" s="147"/>
      <c r="N49" s="147"/>
      <c r="O49" s="147"/>
      <c r="P49" s="147"/>
      <c r="Q49" s="147"/>
      <c r="R49" s="516">
        <f t="shared" si="11"/>
        <v>155000</v>
      </c>
      <c r="S49" s="147"/>
      <c r="T49" s="147"/>
      <c r="U49" s="143"/>
    </row>
    <row r="50" spans="1:21" s="144" customFormat="1">
      <c r="A50" s="145" t="s">
        <v>156</v>
      </c>
      <c r="B50" s="146">
        <f t="shared" si="10"/>
        <v>50000</v>
      </c>
      <c r="C50" s="147">
        <v>50000</v>
      </c>
      <c r="D50" s="147"/>
      <c r="E50" s="147">
        <f t="shared" si="12"/>
        <v>50000</v>
      </c>
      <c r="F50" s="147"/>
      <c r="G50" s="147"/>
      <c r="H50" s="147"/>
      <c r="I50" s="147"/>
      <c r="J50" s="147"/>
      <c r="K50" s="147"/>
      <c r="L50" s="147"/>
      <c r="M50" s="147"/>
      <c r="N50" s="147"/>
      <c r="O50" s="147"/>
      <c r="P50" s="147"/>
      <c r="Q50" s="147"/>
      <c r="R50" s="516">
        <f t="shared" si="11"/>
        <v>50000</v>
      </c>
      <c r="S50" s="147">
        <f>+R50</f>
        <v>50000</v>
      </c>
      <c r="T50" s="147"/>
      <c r="U50" s="143"/>
    </row>
    <row r="51" spans="1:21" s="144" customFormat="1">
      <c r="A51" s="283" t="s">
        <v>154</v>
      </c>
      <c r="B51" s="146">
        <f t="shared" si="10"/>
        <v>0</v>
      </c>
      <c r="C51" s="147"/>
      <c r="D51" s="147"/>
      <c r="E51" s="147"/>
      <c r="F51" s="147"/>
      <c r="G51" s="147"/>
      <c r="H51" s="147"/>
      <c r="I51" s="147"/>
      <c r="J51" s="147"/>
      <c r="K51" s="147"/>
      <c r="L51" s="147"/>
      <c r="M51" s="147"/>
      <c r="N51" s="147"/>
      <c r="O51" s="147"/>
      <c r="P51" s="147"/>
      <c r="Q51" s="147"/>
      <c r="R51" s="516">
        <f t="shared" si="11"/>
        <v>0</v>
      </c>
      <c r="S51" s="147"/>
      <c r="T51" s="147"/>
      <c r="U51" s="143"/>
    </row>
    <row r="52" spans="1:21" s="144" customFormat="1">
      <c r="A52" s="145" t="s">
        <v>155</v>
      </c>
      <c r="B52" s="146">
        <f t="shared" si="10"/>
        <v>500000</v>
      </c>
      <c r="C52" s="147">
        <v>500000</v>
      </c>
      <c r="D52" s="147"/>
      <c r="E52" s="147">
        <f t="shared" si="12"/>
        <v>500000</v>
      </c>
      <c r="F52" s="147"/>
      <c r="G52" s="147"/>
      <c r="H52" s="147"/>
      <c r="I52" s="147"/>
      <c r="J52" s="147"/>
      <c r="K52" s="147"/>
      <c r="L52" s="147"/>
      <c r="M52" s="147"/>
      <c r="N52" s="147"/>
      <c r="O52" s="147"/>
      <c r="P52" s="147"/>
      <c r="Q52" s="147"/>
      <c r="R52" s="516">
        <f t="shared" si="11"/>
        <v>500000</v>
      </c>
      <c r="S52" s="147">
        <f>+R52</f>
        <v>500000</v>
      </c>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c r="A54" s="149" t="s">
        <v>157</v>
      </c>
      <c r="B54" s="150">
        <f>SUM(C54:D54)</f>
        <v>2365791</v>
      </c>
      <c r="C54" s="150">
        <f t="shared" ref="C54:T54" si="13">SUM(C45:C53)</f>
        <v>2365791</v>
      </c>
      <c r="D54" s="150">
        <f t="shared" si="13"/>
        <v>0</v>
      </c>
      <c r="E54" s="150">
        <f t="shared" si="13"/>
        <v>2365791</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2365791</v>
      </c>
      <c r="S54" s="150">
        <f t="shared" si="13"/>
        <v>1622498</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6">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35000</v>
      </c>
      <c r="C58" s="147">
        <v>35000</v>
      </c>
      <c r="D58" s="147"/>
      <c r="E58" s="147">
        <f>+C58</f>
        <v>35000</v>
      </c>
      <c r="F58" s="147"/>
      <c r="G58" s="147"/>
      <c r="H58" s="147"/>
      <c r="I58" s="147"/>
      <c r="J58" s="147"/>
      <c r="K58" s="147"/>
      <c r="L58" s="147"/>
      <c r="M58" s="147"/>
      <c r="N58" s="147"/>
      <c r="O58" s="147"/>
      <c r="P58" s="147"/>
      <c r="Q58" s="147"/>
      <c r="R58" s="516">
        <f t="shared" si="15"/>
        <v>35000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9"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301</v>
      </c>
      <c r="B62" s="146">
        <f>SUM(C62:D62)</f>
        <v>35000</v>
      </c>
      <c r="C62" s="146">
        <f t="shared" ref="C62:R62" si="16">SUM(C56:C61)</f>
        <v>35000</v>
      </c>
      <c r="D62" s="146">
        <f t="shared" si="16"/>
        <v>0</v>
      </c>
      <c r="E62" s="146">
        <f t="shared" si="16"/>
        <v>35000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35000</v>
      </c>
      <c r="S62" s="148"/>
      <c r="T62" s="148"/>
      <c r="U62" s="143"/>
    </row>
    <row r="63" spans="1:21" s="144" customFormat="1">
      <c r="A63" s="154" t="s">
        <v>302</v>
      </c>
      <c r="B63" s="146">
        <f t="shared" ref="B63:R63" si="17">SUM(B8+B11+B13+B14+B15+B26+B27+B38+B42+B43+B54+B62)</f>
        <v>18748502</v>
      </c>
      <c r="C63" s="146">
        <f t="shared" si="17"/>
        <v>18748502</v>
      </c>
      <c r="D63" s="146">
        <f t="shared" si="17"/>
        <v>0</v>
      </c>
      <c r="E63" s="146">
        <f t="shared" si="17"/>
        <v>13273502</v>
      </c>
      <c r="F63" s="146">
        <f t="shared" si="17"/>
        <v>5475000</v>
      </c>
      <c r="G63" s="146">
        <f t="shared" si="17"/>
        <v>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18748502</v>
      </c>
      <c r="S63" s="146">
        <f>SUM(S10+S13+S14+S15+S26+S27+S38+S42+S43+S54)</f>
        <v>17715834</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280000</v>
      </c>
      <c r="C65" s="147">
        <f>140000+140000</f>
        <v>280000</v>
      </c>
      <c r="D65" s="147"/>
      <c r="E65" s="147">
        <f>+C65</f>
        <v>280000</v>
      </c>
      <c r="F65" s="147"/>
      <c r="G65" s="147"/>
      <c r="H65" s="147"/>
      <c r="I65" s="147"/>
      <c r="J65" s="147"/>
      <c r="K65" s="147"/>
      <c r="L65" s="147"/>
      <c r="M65" s="147"/>
      <c r="N65" s="147"/>
      <c r="O65" s="147"/>
      <c r="P65" s="147"/>
      <c r="Q65" s="147"/>
      <c r="R65" s="516">
        <f>SUM(E65:Q65)</f>
        <v>280000</v>
      </c>
      <c r="S65" s="147">
        <v>140000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1646</v>
      </c>
      <c r="B70" s="146">
        <f>SUM(C70:D70)</f>
        <v>280000</v>
      </c>
      <c r="C70" s="146">
        <f>SUM(C65:C69)</f>
        <v>280000</v>
      </c>
      <c r="D70" s="146">
        <f>SUM(D65:D69)</f>
        <v>0</v>
      </c>
      <c r="E70" s="146">
        <f t="shared" ref="E70:T70" si="18">SUM(E65:E69)</f>
        <v>280000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2">
        <f t="shared" si="18"/>
        <v>280000</v>
      </c>
      <c r="S70" s="150">
        <f t="shared" si="18"/>
        <v>140000</v>
      </c>
      <c r="T70" s="150">
        <f t="shared" si="18"/>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203000</v>
      </c>
      <c r="C75" s="147">
        <v>203000</v>
      </c>
      <c r="D75" s="147"/>
      <c r="E75" s="147">
        <f>+C75</f>
        <v>203000</v>
      </c>
      <c r="F75" s="147"/>
      <c r="G75" s="147"/>
      <c r="H75" s="147"/>
      <c r="I75" s="147"/>
      <c r="J75" s="147"/>
      <c r="K75" s="147"/>
      <c r="L75" s="147"/>
      <c r="M75" s="147"/>
      <c r="N75" s="147"/>
      <c r="O75" s="147"/>
      <c r="P75" s="147"/>
      <c r="Q75" s="147"/>
      <c r="R75" s="516">
        <f>SUM(E75:Q75)</f>
        <v>203000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203000</v>
      </c>
      <c r="C77" s="146">
        <f>SUM(C72:C76)</f>
        <v>203000</v>
      </c>
      <c r="D77" s="146">
        <f>SUM(D72:D76)</f>
        <v>0</v>
      </c>
      <c r="E77" s="146">
        <f t="shared" ref="E77:Q77" si="19">SUM(E72:E76)</f>
        <v>203000</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42">
        <f>SUM(R72:R76)</f>
        <v>203000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767466</v>
      </c>
      <c r="C79" s="147">
        <v>767466</v>
      </c>
      <c r="D79" s="147"/>
      <c r="E79" s="147">
        <f>+C79</f>
        <v>767466</v>
      </c>
      <c r="F79" s="147"/>
      <c r="G79" s="147"/>
      <c r="H79" s="147"/>
      <c r="I79" s="147"/>
      <c r="J79" s="147"/>
      <c r="K79" s="147"/>
      <c r="L79" s="147"/>
      <c r="M79" s="147"/>
      <c r="N79" s="147"/>
      <c r="O79" s="147"/>
      <c r="P79" s="147"/>
      <c r="Q79" s="147"/>
      <c r="R79" s="516">
        <f>SUM(E79:Q79)</f>
        <v>767466</v>
      </c>
      <c r="S79" s="147">
        <f>+R79</f>
        <v>767466</v>
      </c>
      <c r="T79" s="147"/>
      <c r="U79" s="143"/>
    </row>
    <row r="80" spans="1:21" s="144" customFormat="1">
      <c r="A80" s="283" t="s">
        <v>58</v>
      </c>
      <c r="B80" s="146">
        <f>SUM(C80:D80)</f>
        <v>365000</v>
      </c>
      <c r="C80" s="147">
        <v>365000</v>
      </c>
      <c r="D80" s="147"/>
      <c r="E80" s="147">
        <f>+C80</f>
        <v>365000</v>
      </c>
      <c r="F80" s="147"/>
      <c r="G80" s="147"/>
      <c r="H80" s="147"/>
      <c r="I80" s="147"/>
      <c r="J80" s="147"/>
      <c r="K80" s="147"/>
      <c r="L80" s="147"/>
      <c r="M80" s="147"/>
      <c r="N80" s="147"/>
      <c r="O80" s="147"/>
      <c r="P80" s="147"/>
      <c r="Q80" s="147"/>
      <c r="R80" s="516">
        <f>SUM(E80:Q80)</f>
        <v>365000</v>
      </c>
      <c r="S80" s="147">
        <f>+R80</f>
        <v>365000</v>
      </c>
      <c r="T80" s="147"/>
      <c r="U80" s="143"/>
    </row>
    <row r="81" spans="1:21" s="144" customFormat="1">
      <c r="A81" s="149" t="s">
        <v>1210</v>
      </c>
      <c r="B81" s="146">
        <f>SUM(C81:D81)</f>
        <v>1132466</v>
      </c>
      <c r="C81" s="509">
        <f>SUM(C79:C80)</f>
        <v>1132466</v>
      </c>
      <c r="D81" s="509">
        <f t="shared" ref="D81:T81" si="20">SUM(D79:D80)</f>
        <v>0</v>
      </c>
      <c r="E81" s="509">
        <f t="shared" si="20"/>
        <v>1132466</v>
      </c>
      <c r="F81" s="509">
        <f t="shared" si="20"/>
        <v>0</v>
      </c>
      <c r="G81" s="509">
        <f t="shared" si="20"/>
        <v>0</v>
      </c>
      <c r="H81" s="509">
        <f t="shared" si="20"/>
        <v>0</v>
      </c>
      <c r="I81" s="509">
        <f t="shared" si="20"/>
        <v>0</v>
      </c>
      <c r="J81" s="509">
        <f t="shared" si="20"/>
        <v>0</v>
      </c>
      <c r="K81" s="509">
        <f t="shared" si="20"/>
        <v>0</v>
      </c>
      <c r="L81" s="509">
        <f t="shared" si="20"/>
        <v>0</v>
      </c>
      <c r="M81" s="509">
        <f t="shared" si="20"/>
        <v>0</v>
      </c>
      <c r="N81" s="509">
        <f t="shared" si="20"/>
        <v>0</v>
      </c>
      <c r="O81" s="509">
        <f t="shared" si="20"/>
        <v>0</v>
      </c>
      <c r="P81" s="509">
        <f t="shared" si="20"/>
        <v>0</v>
      </c>
      <c r="Q81" s="509">
        <f t="shared" si="20"/>
        <v>0</v>
      </c>
      <c r="R81" s="509">
        <f t="shared" si="20"/>
        <v>1132466</v>
      </c>
      <c r="S81" s="509">
        <f t="shared" si="20"/>
        <v>1132466</v>
      </c>
      <c r="T81" s="509">
        <f t="shared" si="20"/>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2095</v>
      </c>
      <c r="B83" s="146">
        <f t="shared" ref="B83:B95" si="21">SUM(C83+D83)</f>
        <v>59722</v>
      </c>
      <c r="C83" s="147">
        <v>59722</v>
      </c>
      <c r="D83" s="147"/>
      <c r="E83" s="147">
        <f>+C83</f>
        <v>59722</v>
      </c>
      <c r="F83" s="147"/>
      <c r="G83" s="147"/>
      <c r="H83" s="147"/>
      <c r="I83" s="147"/>
      <c r="J83" s="147"/>
      <c r="K83" s="147"/>
      <c r="L83" s="147"/>
      <c r="M83" s="147"/>
      <c r="N83" s="147"/>
      <c r="O83" s="147"/>
      <c r="P83" s="147"/>
      <c r="Q83" s="147"/>
      <c r="R83" s="516">
        <f t="shared" ref="R83:R95" si="22">SUM(E83:Q83)</f>
        <v>59722</v>
      </c>
      <c r="S83" s="148"/>
      <c r="T83" s="148"/>
      <c r="U83" s="143"/>
    </row>
    <row r="84" spans="1:21" s="144" customFormat="1">
      <c r="A84" s="145" t="s">
        <v>768</v>
      </c>
      <c r="B84" s="146">
        <f t="shared" si="21"/>
        <v>125000</v>
      </c>
      <c r="C84" s="147">
        <f>50000+75000</f>
        <v>125000</v>
      </c>
      <c r="D84" s="147"/>
      <c r="E84" s="147">
        <f t="shared" ref="E84:E93" si="23">+C84</f>
        <v>125000</v>
      </c>
      <c r="F84" s="147"/>
      <c r="G84" s="147"/>
      <c r="H84" s="147"/>
      <c r="I84" s="147"/>
      <c r="J84" s="147"/>
      <c r="K84" s="147"/>
      <c r="L84" s="147"/>
      <c r="M84" s="147"/>
      <c r="N84" s="147"/>
      <c r="O84" s="147"/>
      <c r="P84" s="147"/>
      <c r="Q84" s="147"/>
      <c r="R84" s="516">
        <f t="shared" si="22"/>
        <v>125000</v>
      </c>
      <c r="S84" s="147">
        <f>+R84</f>
        <v>125000</v>
      </c>
      <c r="T84" s="147"/>
      <c r="U84" s="143"/>
    </row>
    <row r="85" spans="1:21" s="144" customFormat="1">
      <c r="A85" s="145" t="s">
        <v>769</v>
      </c>
      <c r="B85" s="146">
        <f t="shared" si="21"/>
        <v>1751257</v>
      </c>
      <c r="C85" s="147">
        <v>1751257</v>
      </c>
      <c r="D85" s="147"/>
      <c r="E85" s="147">
        <f t="shared" si="23"/>
        <v>1751257</v>
      </c>
      <c r="F85" s="147"/>
      <c r="G85" s="147"/>
      <c r="H85" s="147"/>
      <c r="I85" s="147"/>
      <c r="J85" s="147"/>
      <c r="K85" s="147"/>
      <c r="L85" s="147"/>
      <c r="M85" s="147"/>
      <c r="N85" s="147"/>
      <c r="O85" s="147"/>
      <c r="P85" s="147"/>
      <c r="Q85" s="147"/>
      <c r="R85" s="516">
        <f t="shared" si="22"/>
        <v>1751257</v>
      </c>
      <c r="S85" s="147">
        <f>+R85</f>
        <v>1751257</v>
      </c>
      <c r="T85" s="147"/>
      <c r="U85" s="143"/>
    </row>
    <row r="86" spans="1:21" s="144" customFormat="1">
      <c r="A86" s="145" t="s">
        <v>770</v>
      </c>
      <c r="B86" s="146">
        <f t="shared" si="21"/>
        <v>646243</v>
      </c>
      <c r="C86" s="147">
        <v>646243</v>
      </c>
      <c r="D86" s="147"/>
      <c r="E86" s="147">
        <f t="shared" si="23"/>
        <v>646243</v>
      </c>
      <c r="F86" s="147"/>
      <c r="G86" s="147"/>
      <c r="H86" s="147"/>
      <c r="I86" s="147"/>
      <c r="J86" s="147"/>
      <c r="K86" s="147"/>
      <c r="L86" s="147"/>
      <c r="M86" s="147"/>
      <c r="N86" s="147"/>
      <c r="O86" s="147"/>
      <c r="P86" s="147"/>
      <c r="Q86" s="147"/>
      <c r="R86" s="516">
        <f t="shared" si="22"/>
        <v>646243</v>
      </c>
      <c r="S86" s="147">
        <f>+R86</f>
        <v>646243</v>
      </c>
      <c r="T86" s="147"/>
      <c r="U86" s="143"/>
    </row>
    <row r="87" spans="1:21" s="144" customFormat="1">
      <c r="A87" s="145" t="s">
        <v>771</v>
      </c>
      <c r="B87" s="146">
        <f t="shared" si="21"/>
        <v>0</v>
      </c>
      <c r="C87" s="147"/>
      <c r="D87" s="147"/>
      <c r="E87" s="147">
        <f t="shared" si="23"/>
        <v>0</v>
      </c>
      <c r="F87" s="147"/>
      <c r="G87" s="147"/>
      <c r="H87" s="147"/>
      <c r="I87" s="147"/>
      <c r="J87" s="147"/>
      <c r="K87" s="147"/>
      <c r="L87" s="147"/>
      <c r="M87" s="147"/>
      <c r="N87" s="147"/>
      <c r="O87" s="147"/>
      <c r="P87" s="147"/>
      <c r="Q87" s="147"/>
      <c r="R87" s="516">
        <f t="shared" si="22"/>
        <v>0</v>
      </c>
      <c r="S87" s="147"/>
      <c r="T87" s="147"/>
      <c r="U87" s="143"/>
    </row>
    <row r="88" spans="1:21" s="144" customFormat="1">
      <c r="A88" s="145" t="s">
        <v>772</v>
      </c>
      <c r="B88" s="146">
        <f t="shared" si="21"/>
        <v>33000</v>
      </c>
      <c r="C88" s="147">
        <v>33000</v>
      </c>
      <c r="D88" s="147"/>
      <c r="E88" s="147">
        <f t="shared" si="23"/>
        <v>33000</v>
      </c>
      <c r="F88" s="147"/>
      <c r="G88" s="147"/>
      <c r="H88" s="147"/>
      <c r="I88" s="147"/>
      <c r="J88" s="147"/>
      <c r="K88" s="147"/>
      <c r="L88" s="147"/>
      <c r="M88" s="147"/>
      <c r="N88" s="147"/>
      <c r="O88" s="147"/>
      <c r="P88" s="147"/>
      <c r="Q88" s="147"/>
      <c r="R88" s="516">
        <f t="shared" si="22"/>
        <v>33000</v>
      </c>
      <c r="S88" s="148"/>
      <c r="T88" s="148"/>
      <c r="U88" s="143"/>
    </row>
    <row r="89" spans="1:21" s="144" customFormat="1">
      <c r="A89" s="145" t="s">
        <v>773</v>
      </c>
      <c r="B89" s="146">
        <f t="shared" si="21"/>
        <v>0</v>
      </c>
      <c r="C89" s="147"/>
      <c r="D89" s="147"/>
      <c r="E89" s="147">
        <f t="shared" si="23"/>
        <v>0</v>
      </c>
      <c r="F89" s="147"/>
      <c r="G89" s="147"/>
      <c r="H89" s="147"/>
      <c r="I89" s="147"/>
      <c r="J89" s="147"/>
      <c r="K89" s="147"/>
      <c r="L89" s="147"/>
      <c r="M89" s="147"/>
      <c r="N89" s="147"/>
      <c r="O89" s="147"/>
      <c r="P89" s="147"/>
      <c r="Q89" s="147"/>
      <c r="R89" s="516">
        <f t="shared" si="22"/>
        <v>0</v>
      </c>
      <c r="S89" s="147"/>
      <c r="T89" s="147"/>
      <c r="U89" s="143"/>
    </row>
    <row r="90" spans="1:21" s="144" customFormat="1">
      <c r="A90" s="145" t="s">
        <v>774</v>
      </c>
      <c r="B90" s="146">
        <f t="shared" si="21"/>
        <v>25000</v>
      </c>
      <c r="C90" s="147">
        <v>25000</v>
      </c>
      <c r="D90" s="147"/>
      <c r="E90" s="147">
        <f t="shared" si="23"/>
        <v>25000</v>
      </c>
      <c r="F90" s="147"/>
      <c r="G90" s="147"/>
      <c r="H90" s="147"/>
      <c r="I90" s="147"/>
      <c r="J90" s="147"/>
      <c r="K90" s="147"/>
      <c r="L90" s="147"/>
      <c r="M90" s="147"/>
      <c r="N90" s="147"/>
      <c r="O90" s="147"/>
      <c r="P90" s="147"/>
      <c r="Q90" s="147"/>
      <c r="R90" s="516">
        <f t="shared" si="22"/>
        <v>25000</v>
      </c>
      <c r="S90" s="147">
        <f>+R90</f>
        <v>25000</v>
      </c>
      <c r="T90" s="147"/>
      <c r="U90" s="143"/>
    </row>
    <row r="91" spans="1:21" s="144" customFormat="1">
      <c r="A91" s="145" t="s">
        <v>372</v>
      </c>
      <c r="B91" s="146">
        <f t="shared" si="21"/>
        <v>35000</v>
      </c>
      <c r="C91" s="147">
        <v>35000</v>
      </c>
      <c r="D91" s="147"/>
      <c r="E91" s="147">
        <f t="shared" si="23"/>
        <v>35000</v>
      </c>
      <c r="F91" s="147"/>
      <c r="G91" s="147"/>
      <c r="H91" s="147"/>
      <c r="I91" s="147"/>
      <c r="J91" s="147"/>
      <c r="K91" s="147"/>
      <c r="L91" s="147"/>
      <c r="M91" s="147"/>
      <c r="N91" s="147"/>
      <c r="O91" s="147"/>
      <c r="P91" s="147"/>
      <c r="Q91" s="147"/>
      <c r="R91" s="516">
        <f t="shared" si="22"/>
        <v>35000</v>
      </c>
      <c r="S91" s="147">
        <f t="shared" ref="S91:S93" si="24">+R91</f>
        <v>35000</v>
      </c>
      <c r="T91" s="147"/>
      <c r="U91" s="143"/>
    </row>
    <row r="92" spans="1:21" s="144" customFormat="1">
      <c r="A92" s="283" t="s">
        <v>1212</v>
      </c>
      <c r="B92" s="146">
        <f t="shared" si="21"/>
        <v>35000</v>
      </c>
      <c r="C92" s="147">
        <v>35000</v>
      </c>
      <c r="D92" s="147"/>
      <c r="E92" s="147">
        <f t="shared" si="23"/>
        <v>35000</v>
      </c>
      <c r="F92" s="147"/>
      <c r="G92" s="147"/>
      <c r="H92" s="147"/>
      <c r="I92" s="147"/>
      <c r="J92" s="147"/>
      <c r="K92" s="147"/>
      <c r="L92" s="147"/>
      <c r="M92" s="147"/>
      <c r="N92" s="147"/>
      <c r="O92" s="147"/>
      <c r="P92" s="147"/>
      <c r="Q92" s="147"/>
      <c r="R92" s="516">
        <f t="shared" si="22"/>
        <v>35000</v>
      </c>
      <c r="S92" s="147">
        <f t="shared" si="24"/>
        <v>35000</v>
      </c>
      <c r="T92" s="147"/>
      <c r="U92" s="143"/>
    </row>
    <row r="93" spans="1:21" s="144" customFormat="1">
      <c r="A93" s="1149" t="s">
        <v>2623</v>
      </c>
      <c r="B93" s="146">
        <f t="shared" si="21"/>
        <v>150000</v>
      </c>
      <c r="C93" s="147">
        <v>150000</v>
      </c>
      <c r="D93" s="147"/>
      <c r="E93" s="147">
        <f t="shared" si="23"/>
        <v>150000</v>
      </c>
      <c r="F93" s="147"/>
      <c r="G93" s="147"/>
      <c r="H93" s="147"/>
      <c r="I93" s="147"/>
      <c r="J93" s="147"/>
      <c r="K93" s="147"/>
      <c r="L93" s="147"/>
      <c r="M93" s="147"/>
      <c r="N93" s="147"/>
      <c r="O93" s="147"/>
      <c r="P93" s="147"/>
      <c r="Q93" s="147"/>
      <c r="R93" s="516">
        <f t="shared" si="22"/>
        <v>150000</v>
      </c>
      <c r="S93" s="147">
        <f t="shared" si="24"/>
        <v>150000</v>
      </c>
      <c r="T93" s="147"/>
      <c r="U93" s="143"/>
    </row>
    <row r="94" spans="1:21" s="144" customFormat="1">
      <c r="A94" s="1149" t="s">
        <v>34</v>
      </c>
      <c r="B94" s="146">
        <f t="shared" si="21"/>
        <v>0</v>
      </c>
      <c r="C94" s="147"/>
      <c r="D94" s="147"/>
      <c r="E94" s="147"/>
      <c r="F94" s="147"/>
      <c r="G94" s="147"/>
      <c r="H94" s="147"/>
      <c r="I94" s="147"/>
      <c r="J94" s="147"/>
      <c r="K94" s="147"/>
      <c r="L94" s="147"/>
      <c r="M94" s="147"/>
      <c r="N94" s="147"/>
      <c r="O94" s="147"/>
      <c r="P94" s="147"/>
      <c r="Q94" s="147"/>
      <c r="R94" s="516">
        <f t="shared" si="22"/>
        <v>0</v>
      </c>
      <c r="S94" s="147"/>
      <c r="T94" s="147"/>
      <c r="U94" s="143"/>
    </row>
    <row r="95" spans="1:21" s="144" customFormat="1">
      <c r="A95" s="1149" t="s">
        <v>34</v>
      </c>
      <c r="B95" s="146">
        <f t="shared" si="21"/>
        <v>0</v>
      </c>
      <c r="C95" s="147"/>
      <c r="D95" s="147"/>
      <c r="E95" s="147"/>
      <c r="F95" s="147"/>
      <c r="G95" s="147"/>
      <c r="H95" s="147"/>
      <c r="I95" s="147"/>
      <c r="J95" s="147"/>
      <c r="K95" s="147"/>
      <c r="L95" s="147"/>
      <c r="M95" s="147"/>
      <c r="N95" s="147"/>
      <c r="O95" s="147"/>
      <c r="P95" s="147"/>
      <c r="Q95" s="147"/>
      <c r="R95" s="516">
        <f t="shared" si="22"/>
        <v>0</v>
      </c>
      <c r="S95" s="147"/>
      <c r="T95" s="147"/>
      <c r="U95" s="143"/>
    </row>
    <row r="96" spans="1:21" s="144" customFormat="1">
      <c r="A96" s="149" t="s">
        <v>775</v>
      </c>
      <c r="B96" s="146">
        <f>SUM(C96:D96)</f>
        <v>2860222</v>
      </c>
      <c r="C96" s="146">
        <f t="shared" ref="C96:R96" si="25">SUM(C83:C95)</f>
        <v>2860222</v>
      </c>
      <c r="D96" s="146">
        <f t="shared" si="25"/>
        <v>0</v>
      </c>
      <c r="E96" s="146">
        <f t="shared" si="25"/>
        <v>2860222</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2860222</v>
      </c>
      <c r="S96" s="150">
        <f>SUM(S84:S87,S89:S95)</f>
        <v>2767500</v>
      </c>
      <c r="T96" s="146">
        <f>SUM(T84:T87,T89:T95)</f>
        <v>0</v>
      </c>
      <c r="U96" s="143"/>
    </row>
    <row r="97" spans="1:21" s="144" customFormat="1">
      <c r="A97" s="149" t="s">
        <v>776</v>
      </c>
      <c r="B97" s="146">
        <f>SUM(C97:D97)</f>
        <v>23224190</v>
      </c>
      <c r="C97" s="146">
        <f t="shared" ref="C97:R97" si="26">SUM(C63+C70+C77+C81+C96)</f>
        <v>23224190</v>
      </c>
      <c r="D97" s="146">
        <f t="shared" si="26"/>
        <v>0</v>
      </c>
      <c r="E97" s="146">
        <f t="shared" si="26"/>
        <v>17749190</v>
      </c>
      <c r="F97" s="146">
        <f t="shared" si="26"/>
        <v>5475000</v>
      </c>
      <c r="G97" s="146">
        <f t="shared" si="26"/>
        <v>0</v>
      </c>
      <c r="H97" s="146">
        <f t="shared" si="26"/>
        <v>0</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23224190</v>
      </c>
      <c r="S97" s="146">
        <f>SUM(S63+S70+S81+S96)</f>
        <v>21755800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3260000</v>
      </c>
      <c r="C99" s="979">
        <v>3260000</v>
      </c>
      <c r="D99" s="979"/>
      <c r="E99" s="979">
        <f>19489583-17749190</f>
        <v>1740393</v>
      </c>
      <c r="F99" s="147"/>
      <c r="G99" s="147">
        <f>+C99-E99</f>
        <v>1519607</v>
      </c>
      <c r="H99" s="147"/>
      <c r="I99" s="147"/>
      <c r="J99" s="147"/>
      <c r="K99" s="147"/>
      <c r="L99" s="147"/>
      <c r="M99" s="147"/>
      <c r="N99" s="147"/>
      <c r="O99" s="147"/>
      <c r="P99" s="147"/>
      <c r="Q99" s="147"/>
      <c r="R99" s="516">
        <f>SUM(E99:Q99)</f>
        <v>3260000</v>
      </c>
      <c r="S99" s="147">
        <f>+R99</f>
        <v>3260000</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3260000</v>
      </c>
      <c r="C104" s="146">
        <f>SUM(C99:C103)</f>
        <v>3260000</v>
      </c>
      <c r="D104" s="146">
        <f t="shared" ref="D104:T104" si="27">SUM(D99:D103)</f>
        <v>0</v>
      </c>
      <c r="E104" s="146">
        <f t="shared" si="27"/>
        <v>1740393</v>
      </c>
      <c r="F104" s="146">
        <f t="shared" si="27"/>
        <v>0</v>
      </c>
      <c r="G104" s="146">
        <f t="shared" si="27"/>
        <v>1519607</v>
      </c>
      <c r="H104" s="146">
        <f t="shared" si="27"/>
        <v>0</v>
      </c>
      <c r="I104" s="146">
        <f t="shared" si="27"/>
        <v>0</v>
      </c>
      <c r="J104" s="146">
        <f t="shared" si="27"/>
        <v>0</v>
      </c>
      <c r="K104" s="146">
        <f t="shared" si="27"/>
        <v>0</v>
      </c>
      <c r="L104" s="146">
        <f t="shared" si="27"/>
        <v>0</v>
      </c>
      <c r="M104" s="146">
        <f t="shared" si="27"/>
        <v>0</v>
      </c>
      <c r="N104" s="146">
        <f t="shared" si="27"/>
        <v>0</v>
      </c>
      <c r="O104" s="146">
        <f t="shared" si="27"/>
        <v>0</v>
      </c>
      <c r="P104" s="146">
        <f t="shared" si="27"/>
        <v>0</v>
      </c>
      <c r="Q104" s="146">
        <f t="shared" si="27"/>
        <v>0</v>
      </c>
      <c r="R104" s="342">
        <f t="shared" si="27"/>
        <v>3260000</v>
      </c>
      <c r="S104" s="150">
        <f t="shared" si="27"/>
        <v>3260000</v>
      </c>
      <c r="T104" s="150">
        <f t="shared" si="27"/>
        <v>0</v>
      </c>
      <c r="U104" s="143"/>
    </row>
    <row r="105" spans="1:21" s="144" customFormat="1">
      <c r="A105" s="149" t="s">
        <v>781</v>
      </c>
      <c r="B105" s="150">
        <f>SUM(C105:D105)</f>
        <v>26484190</v>
      </c>
      <c r="C105" s="150">
        <f t="shared" ref="C105:R105" si="28">SUM(C97+C104)</f>
        <v>26484190</v>
      </c>
      <c r="D105" s="150">
        <f t="shared" si="28"/>
        <v>0</v>
      </c>
      <c r="E105" s="150">
        <f t="shared" si="28"/>
        <v>19489583</v>
      </c>
      <c r="F105" s="150">
        <f t="shared" si="28"/>
        <v>5475000</v>
      </c>
      <c r="G105" s="150">
        <f t="shared" si="28"/>
        <v>1519607</v>
      </c>
      <c r="H105" s="150">
        <f t="shared" si="28"/>
        <v>0</v>
      </c>
      <c r="I105" s="150">
        <f t="shared" si="28"/>
        <v>0</v>
      </c>
      <c r="J105" s="150">
        <f t="shared" si="28"/>
        <v>0</v>
      </c>
      <c r="K105" s="150">
        <f t="shared" si="28"/>
        <v>0</v>
      </c>
      <c r="L105" s="150">
        <f t="shared" si="28"/>
        <v>0</v>
      </c>
      <c r="M105" s="150">
        <f t="shared" si="28"/>
        <v>0</v>
      </c>
      <c r="N105" s="150">
        <f t="shared" si="28"/>
        <v>0</v>
      </c>
      <c r="O105" s="150">
        <f t="shared" si="28"/>
        <v>0</v>
      </c>
      <c r="P105" s="150">
        <f t="shared" si="28"/>
        <v>0</v>
      </c>
      <c r="Q105" s="150">
        <f t="shared" si="28"/>
        <v>0</v>
      </c>
      <c r="R105" s="342">
        <f t="shared" si="28"/>
        <v>26484190</v>
      </c>
      <c r="S105" s="150">
        <f>S97+S104</f>
        <v>25015800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25015800</v>
      </c>
      <c r="T107" s="150">
        <f>T105+T106</f>
        <v>0</v>
      </c>
    </row>
    <row r="108" spans="1:21" s="189" customFormat="1">
      <c r="A108" s="162" t="s">
        <v>880</v>
      </c>
      <c r="B108" s="157"/>
      <c r="C108" s="157"/>
      <c r="D108" s="157"/>
      <c r="E108" s="301">
        <f>Application!AO640</f>
        <v>19489583</v>
      </c>
      <c r="F108" s="301">
        <f>Application!AO627</f>
        <v>5475000</v>
      </c>
      <c r="G108" s="301">
        <f>Application!AO628</f>
        <v>1519607</v>
      </c>
      <c r="H108" s="301">
        <f>Application!AO629</f>
        <v>0</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75">
      <c r="A121" s="338" t="s">
        <v>1006</v>
      </c>
      <c r="B121" s="157"/>
      <c r="C121" s="157"/>
      <c r="D121" s="157"/>
    </row>
    <row r="122" spans="1:21">
      <c r="A122" s="325" t="s">
        <v>990</v>
      </c>
      <c r="B122" s="324"/>
      <c r="C122" s="324"/>
      <c r="D122" s="1869" t="s">
        <v>991</v>
      </c>
      <c r="E122" s="1869"/>
      <c r="F122" s="1869"/>
      <c r="G122" s="324"/>
      <c r="H122" s="324"/>
      <c r="I122" s="324"/>
      <c r="J122" s="324"/>
      <c r="K122" s="324"/>
      <c r="L122" s="324"/>
      <c r="M122" s="324"/>
      <c r="N122" s="324"/>
      <c r="O122" s="324"/>
      <c r="P122" s="324"/>
      <c r="Q122" s="324"/>
      <c r="R122" s="324"/>
      <c r="S122" s="324"/>
      <c r="T122" s="324"/>
      <c r="U122" s="326"/>
    </row>
    <row r="123" spans="1:21">
      <c r="A123" s="324" t="s">
        <v>992</v>
      </c>
      <c r="B123" s="333"/>
      <c r="C123" s="324"/>
      <c r="D123" s="1871" t="s">
        <v>1225</v>
      </c>
      <c r="E123" s="1788"/>
      <c r="F123" s="1788"/>
      <c r="G123" s="1788"/>
      <c r="H123" s="1788"/>
      <c r="I123" s="1788"/>
      <c r="J123" s="1788"/>
      <c r="K123" s="1788"/>
      <c r="L123" s="1788"/>
      <c r="M123" s="1788"/>
      <c r="N123" s="1788"/>
      <c r="O123" s="1788"/>
      <c r="P123" s="1788"/>
      <c r="Q123" s="1788"/>
      <c r="R123" s="1788"/>
      <c r="S123" s="1788"/>
      <c r="T123" s="324"/>
      <c r="U123" s="326"/>
    </row>
    <row r="124" spans="1:21" ht="12.75">
      <c r="A124" s="117" t="s">
        <v>993</v>
      </c>
      <c r="B124" s="333"/>
      <c r="C124" s="117"/>
      <c r="D124" s="1788"/>
      <c r="E124" s="1788"/>
      <c r="F124" s="1788"/>
      <c r="G124" s="1788"/>
      <c r="H124" s="1788"/>
      <c r="I124" s="1788"/>
      <c r="J124" s="1788"/>
      <c r="K124" s="1788"/>
      <c r="L124" s="1788"/>
      <c r="M124" s="1788"/>
      <c r="N124" s="1788"/>
      <c r="O124" s="1788"/>
      <c r="P124" s="1788"/>
      <c r="Q124" s="1788"/>
      <c r="R124" s="1788"/>
      <c r="S124" s="1788"/>
      <c r="T124" s="324"/>
      <c r="U124" s="326"/>
    </row>
    <row r="125" spans="1:21" ht="12.75">
      <c r="A125" s="117" t="s">
        <v>994</v>
      </c>
      <c r="B125" s="333"/>
      <c r="C125" s="117"/>
      <c r="D125" s="1788"/>
      <c r="E125" s="1788"/>
      <c r="F125" s="1788"/>
      <c r="G125" s="1788"/>
      <c r="H125" s="1788"/>
      <c r="I125" s="1788"/>
      <c r="J125" s="1788"/>
      <c r="K125" s="1788"/>
      <c r="L125" s="1788"/>
      <c r="M125" s="1788"/>
      <c r="N125" s="1788"/>
      <c r="O125" s="1788"/>
      <c r="P125" s="1788"/>
      <c r="Q125" s="1788"/>
      <c r="R125" s="1788"/>
      <c r="S125" s="1788"/>
      <c r="T125" s="324"/>
      <c r="U125" s="326"/>
    </row>
    <row r="126" spans="1:21" ht="12.7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997</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2.75">
      <c r="A129" s="117" t="s">
        <v>300</v>
      </c>
      <c r="B129" s="333"/>
      <c r="C129" s="117"/>
      <c r="D129" s="1868" t="s">
        <v>998</v>
      </c>
      <c r="E129" s="1868"/>
      <c r="F129" s="1868"/>
      <c r="G129" s="1868"/>
      <c r="H129" s="1868"/>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1000</v>
      </c>
      <c r="B131" s="334">
        <f>SUM(B123:B129)</f>
        <v>0</v>
      </c>
      <c r="C131" s="117"/>
      <c r="D131" s="1818"/>
      <c r="E131" s="1818"/>
      <c r="F131" s="1818"/>
      <c r="G131" s="1818"/>
      <c r="H131" s="1818"/>
      <c r="I131" s="117"/>
      <c r="J131" s="1818"/>
      <c r="K131" s="1818"/>
      <c r="L131" s="1818"/>
      <c r="M131" s="1818"/>
      <c r="N131" s="117"/>
      <c r="O131" s="117"/>
      <c r="P131" s="117"/>
      <c r="Q131" s="117"/>
      <c r="R131" s="117"/>
      <c r="S131" s="117"/>
      <c r="T131" s="324"/>
      <c r="U131" s="326"/>
    </row>
    <row r="132" spans="1:21" ht="12" customHeight="1">
      <c r="A132" s="336"/>
      <c r="B132" s="117"/>
      <c r="C132" s="117"/>
      <c r="D132" s="1872" t="s">
        <v>1001</v>
      </c>
      <c r="E132" s="1872"/>
      <c r="F132" s="1872"/>
      <c r="G132" s="1872"/>
      <c r="H132" s="1872"/>
      <c r="I132" s="117"/>
      <c r="J132" s="1872" t="s">
        <v>1002</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2.75">
      <c r="A139" s="1870" t="s">
        <v>1005</v>
      </c>
      <c r="B139" s="1870"/>
      <c r="C139" s="1870"/>
      <c r="D139" s="328"/>
      <c r="E139" s="117" t="s">
        <v>999</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160" zoomScaleNormal="16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1228</v>
      </c>
      <c r="B1" s="1877"/>
      <c r="C1" s="1877"/>
      <c r="D1" s="1877"/>
      <c r="E1" s="1877"/>
      <c r="F1" s="1877"/>
      <c r="G1" s="1877"/>
      <c r="H1" s="1877"/>
      <c r="I1" s="1877"/>
      <c r="J1" s="1878"/>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254375</v>
      </c>
      <c r="C7" s="362"/>
      <c r="D7" s="362"/>
      <c r="E7" s="363"/>
      <c r="F7" s="363"/>
      <c r="G7" s="363"/>
      <c r="H7" s="363"/>
      <c r="I7" s="363"/>
      <c r="J7" s="363"/>
      <c r="K7" s="359"/>
    </row>
    <row r="8" spans="1:11" s="360" customFormat="1">
      <c r="A8" s="365" t="s">
        <v>594</v>
      </c>
      <c r="B8" s="361">
        <f>'Sources and Uses Budget'!C8</f>
        <v>254375</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254375</v>
      </c>
      <c r="C12" s="361">
        <f>SUM(C8+C11)</f>
        <v>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3250000</v>
      </c>
      <c r="C29" s="362"/>
      <c r="D29" s="362"/>
      <c r="E29" s="361">
        <f>'Sources and Uses Budget'!S29</f>
        <v>3250000</v>
      </c>
      <c r="F29" s="362"/>
      <c r="G29" s="362"/>
      <c r="H29" s="361">
        <f>'Sources and Uses Budget'!T29</f>
        <v>0</v>
      </c>
      <c r="I29" s="362"/>
      <c r="J29" s="362"/>
      <c r="K29" s="359"/>
    </row>
    <row r="30" spans="1:11" s="360" customFormat="1">
      <c r="A30" s="145" t="s">
        <v>600</v>
      </c>
      <c r="B30" s="361">
        <f>'Sources and Uses Budget'!C30</f>
        <v>10229789</v>
      </c>
      <c r="C30" s="362"/>
      <c r="D30" s="362"/>
      <c r="E30" s="361">
        <f>'Sources and Uses Budget'!S30</f>
        <v>10229789</v>
      </c>
      <c r="F30" s="362"/>
      <c r="G30" s="362"/>
      <c r="H30" s="361">
        <f>'Sources and Uses Budget'!T30</f>
        <v>0</v>
      </c>
      <c r="I30" s="362"/>
      <c r="J30" s="362"/>
      <c r="K30" s="359"/>
    </row>
    <row r="31" spans="1:11" s="360" customFormat="1">
      <c r="A31" s="145" t="s">
        <v>601</v>
      </c>
      <c r="B31" s="361">
        <f>'Sources and Uses Budget'!C31</f>
        <v>801235</v>
      </c>
      <c r="C31" s="362"/>
      <c r="D31" s="362"/>
      <c r="E31" s="361">
        <f>'Sources and Uses Budget'!S31</f>
        <v>801235</v>
      </c>
      <c r="F31" s="362"/>
      <c r="G31" s="362"/>
      <c r="H31" s="361">
        <f>'Sources and Uses Budget'!T31</f>
        <v>0</v>
      </c>
      <c r="I31" s="362"/>
      <c r="J31" s="362"/>
      <c r="K31" s="359"/>
    </row>
    <row r="32" spans="1:11" s="360" customFormat="1">
      <c r="A32" s="145" t="s">
        <v>137</v>
      </c>
      <c r="B32" s="361">
        <f>'Sources and Uses Budget'!C32</f>
        <v>534156</v>
      </c>
      <c r="C32" s="362"/>
      <c r="D32" s="362"/>
      <c r="E32" s="361">
        <f>'Sources and Uses Budget'!S32</f>
        <v>534156</v>
      </c>
      <c r="F32" s="362"/>
      <c r="G32" s="362"/>
      <c r="H32" s="361">
        <f>'Sources and Uses Budget'!T32</f>
        <v>0</v>
      </c>
      <c r="I32" s="362"/>
      <c r="J32" s="362"/>
      <c r="K32" s="359"/>
    </row>
    <row r="33" spans="1:11" s="360" customFormat="1">
      <c r="A33" s="145" t="s">
        <v>138</v>
      </c>
      <c r="B33" s="361">
        <f>'Sources and Uses Budget'!C33</f>
        <v>534156</v>
      </c>
      <c r="C33" s="362"/>
      <c r="D33" s="362"/>
      <c r="E33" s="361">
        <f>'Sources and Uses Budget'!S33</f>
        <v>534156</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15349336</v>
      </c>
      <c r="C38" s="361">
        <f>SUM(C29:C37)</f>
        <v>0</v>
      </c>
      <c r="D38" s="361">
        <f>SUM(D29:D37)</f>
        <v>0</v>
      </c>
      <c r="E38" s="361">
        <f>'Sources and Uses Budget'!S38</f>
        <v>15349336</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330000</v>
      </c>
      <c r="C40" s="362"/>
      <c r="D40" s="362"/>
      <c r="E40" s="361">
        <f>'Sources and Uses Budget'!S40</f>
        <v>330000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330000</v>
      </c>
      <c r="C42" s="361">
        <f>SUM(C39:C41)</f>
        <v>0</v>
      </c>
      <c r="D42" s="361">
        <f>SUM(D39:D41)</f>
        <v>0</v>
      </c>
      <c r="E42" s="361">
        <f>'Sources and Uses Budget'!S42</f>
        <v>330000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414000</v>
      </c>
      <c r="C43" s="362"/>
      <c r="D43" s="362"/>
      <c r="E43" s="361">
        <f>'Sources and Uses Budget'!S43</f>
        <v>414000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1470791</v>
      </c>
      <c r="C45" s="362"/>
      <c r="D45" s="362"/>
      <c r="E45" s="361">
        <f>'Sources and Uses Budget'!S45</f>
        <v>882498</v>
      </c>
      <c r="F45" s="362"/>
      <c r="G45" s="362"/>
      <c r="H45" s="361">
        <f>'Sources and Uses Budget'!T45</f>
        <v>0</v>
      </c>
      <c r="I45" s="362"/>
      <c r="J45" s="362"/>
      <c r="K45" s="359"/>
    </row>
    <row r="46" spans="1:11" s="360" customFormat="1">
      <c r="A46" s="364" t="s">
        <v>151</v>
      </c>
      <c r="B46" s="361">
        <f>'Sources and Uses Budget'!C46</f>
        <v>190000</v>
      </c>
      <c r="C46" s="362"/>
      <c r="D46" s="362"/>
      <c r="E46" s="361">
        <f>'Sources and Uses Budget'!S46</f>
        <v>190000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155000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500000</v>
      </c>
      <c r="C52" s="362"/>
      <c r="D52" s="362"/>
      <c r="E52" s="361">
        <f>'Sources and Uses Budget'!S52</f>
        <v>500000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2365791</v>
      </c>
      <c r="C54" s="367">
        <f>SUM(C45:C53)</f>
        <v>0</v>
      </c>
      <c r="D54" s="367">
        <f>SUM(D45:D53)</f>
        <v>0</v>
      </c>
      <c r="E54" s="361">
        <f>'Sources and Uses Budget'!S54</f>
        <v>1622498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35000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35000</v>
      </c>
      <c r="C62" s="361">
        <f>SUM(C56:C61)</f>
        <v>0</v>
      </c>
      <c r="D62" s="361">
        <f>SUM(D56:D61)</f>
        <v>0</v>
      </c>
      <c r="E62" s="363"/>
      <c r="F62" s="363"/>
      <c r="G62" s="363"/>
      <c r="H62" s="363"/>
      <c r="I62" s="363"/>
      <c r="J62" s="363"/>
      <c r="K62" s="359"/>
    </row>
    <row r="63" spans="1:11" s="360" customFormat="1">
      <c r="A63" s="370" t="s">
        <v>302</v>
      </c>
      <c r="B63" s="361">
        <f>'Sources and Uses Budget'!C63</f>
        <v>18748502</v>
      </c>
      <c r="C63" s="361">
        <f>SUM(C8+C11+C13+C14+C15+C26+C27+C38+C42+C43+C54+C62)</f>
        <v>0</v>
      </c>
      <c r="D63" s="361">
        <f>SUM(D8+D11+D13+D14+D15+D26+D27+D38+D42+D43+D54+D62)</f>
        <v>0</v>
      </c>
      <c r="E63" s="361">
        <f>'Sources and Uses Budget'!S63</f>
        <v>17715834</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280000</v>
      </c>
      <c r="C65" s="362"/>
      <c r="D65" s="362"/>
      <c r="E65" s="361">
        <f>'Sources and Uses Budget'!S65</f>
        <v>140000</v>
      </c>
      <c r="F65" s="362"/>
      <c r="G65" s="362"/>
      <c r="H65" s="361">
        <f>'Sources and Uses Budget'!T65</f>
        <v>0</v>
      </c>
      <c r="I65" s="362"/>
      <c r="J65" s="362"/>
      <c r="K65" s="359"/>
    </row>
    <row r="66" spans="1:11" s="360" customFormat="1" ht="24">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280000</v>
      </c>
      <c r="C70" s="361">
        <f>SUM(C64:C69)</f>
        <v>0</v>
      </c>
      <c r="D70" s="361">
        <f>SUM(D64:D69)</f>
        <v>0</v>
      </c>
      <c r="E70" s="361">
        <f>'Sources and Uses Budget'!S70</f>
        <v>140000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987</v>
      </c>
      <c r="B74" s="361">
        <f>'Sources and Uses Budget'!C74</f>
        <v>0</v>
      </c>
      <c r="C74" s="362"/>
      <c r="D74" s="362"/>
      <c r="E74" s="363"/>
      <c r="F74" s="363"/>
      <c r="G74" s="363"/>
      <c r="H74" s="363"/>
      <c r="I74" s="363"/>
      <c r="J74" s="363"/>
      <c r="K74" s="359"/>
    </row>
    <row r="75" spans="1:11" s="360" customFormat="1">
      <c r="A75" s="364" t="s">
        <v>606</v>
      </c>
      <c r="B75" s="361">
        <f>'Sources and Uses Budget'!C75</f>
        <v>203000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203000</v>
      </c>
      <c r="C77" s="361">
        <f>SUM(C72:C76)</f>
        <v>0</v>
      </c>
      <c r="D77" s="361">
        <f>SUM(D72:D76)</f>
        <v>0</v>
      </c>
      <c r="E77" s="363"/>
      <c r="F77" s="363"/>
      <c r="G77" s="363"/>
      <c r="H77" s="363"/>
      <c r="I77" s="363"/>
      <c r="J77" s="363"/>
      <c r="K77" s="359"/>
    </row>
    <row r="78" spans="1:11" s="360" customFormat="1">
      <c r="A78" s="357" t="s">
        <v>1211</v>
      </c>
      <c r="B78" s="358"/>
      <c r="C78" s="358"/>
      <c r="D78" s="358"/>
      <c r="E78" s="358"/>
      <c r="F78" s="358"/>
      <c r="G78" s="358"/>
      <c r="H78" s="358"/>
      <c r="I78" s="358"/>
      <c r="J78" s="358"/>
      <c r="K78" s="359"/>
    </row>
    <row r="79" spans="1:11" s="360" customFormat="1">
      <c r="A79" s="364" t="s">
        <v>1213</v>
      </c>
      <c r="B79" s="361">
        <f>'Sources and Uses Budget'!C79</f>
        <v>767466</v>
      </c>
      <c r="C79" s="362"/>
      <c r="D79" s="362"/>
      <c r="E79" s="361">
        <f>'Sources and Uses Budget'!S79</f>
        <v>767466</v>
      </c>
      <c r="F79" s="362"/>
      <c r="G79" s="362"/>
      <c r="H79" s="361">
        <f>'Sources and Uses Budget'!T79</f>
        <v>0</v>
      </c>
      <c r="I79" s="362"/>
      <c r="J79" s="362"/>
      <c r="K79" s="359"/>
    </row>
    <row r="80" spans="1:11" s="360" customFormat="1">
      <c r="A80" s="364" t="s">
        <v>58</v>
      </c>
      <c r="B80" s="361">
        <f>'Sources and Uses Budget'!C80</f>
        <v>365000</v>
      </c>
      <c r="C80" s="362"/>
      <c r="D80" s="362"/>
      <c r="E80" s="361">
        <f>'Sources and Uses Budget'!S80</f>
        <v>365000</v>
      </c>
      <c r="F80" s="362"/>
      <c r="G80" s="362"/>
      <c r="H80" s="361">
        <f>'Sources and Uses Budget'!T80</f>
        <v>0</v>
      </c>
      <c r="I80" s="362"/>
      <c r="J80" s="362"/>
      <c r="K80" s="359"/>
    </row>
    <row r="81" spans="1:11" s="360" customFormat="1">
      <c r="A81" s="365" t="s">
        <v>1210</v>
      </c>
      <c r="B81" s="361">
        <f>'Sources and Uses Budget'!C81</f>
        <v>1132466</v>
      </c>
      <c r="C81" s="361">
        <f>SUM(C79:C80)</f>
        <v>0</v>
      </c>
      <c r="D81" s="361">
        <f>SUM(D79:D80)</f>
        <v>0</v>
      </c>
      <c r="E81" s="361">
        <f>'Sources and Uses Budget'!S81</f>
        <v>1132466</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2095</v>
      </c>
      <c r="B83" s="361">
        <f>'Sources and Uses Budget'!C83</f>
        <v>59722</v>
      </c>
      <c r="C83" s="362"/>
      <c r="D83" s="362"/>
      <c r="E83" s="363"/>
      <c r="F83" s="363"/>
      <c r="G83" s="363"/>
      <c r="H83" s="363"/>
      <c r="I83" s="363"/>
      <c r="J83" s="363"/>
      <c r="K83" s="359"/>
    </row>
    <row r="84" spans="1:11" s="360" customFormat="1">
      <c r="A84" s="145" t="s">
        <v>768</v>
      </c>
      <c r="B84" s="361">
        <f>'Sources and Uses Budget'!C84</f>
        <v>125000</v>
      </c>
      <c r="C84" s="362"/>
      <c r="D84" s="362"/>
      <c r="E84" s="361">
        <f>'Sources and Uses Budget'!S84</f>
        <v>125000</v>
      </c>
      <c r="F84" s="362"/>
      <c r="G84" s="362"/>
      <c r="H84" s="361">
        <f>'Sources and Uses Budget'!T84</f>
        <v>0</v>
      </c>
      <c r="I84" s="362"/>
      <c r="J84" s="362"/>
      <c r="K84" s="359"/>
    </row>
    <row r="85" spans="1:11" s="360" customFormat="1">
      <c r="A85" s="145" t="s">
        <v>769</v>
      </c>
      <c r="B85" s="361">
        <f>'Sources and Uses Budget'!C85</f>
        <v>1751257</v>
      </c>
      <c r="C85" s="362"/>
      <c r="D85" s="362"/>
      <c r="E85" s="361">
        <f>'Sources and Uses Budget'!S85</f>
        <v>1751257</v>
      </c>
      <c r="F85" s="362"/>
      <c r="G85" s="362"/>
      <c r="H85" s="361">
        <f>'Sources and Uses Budget'!T85</f>
        <v>0</v>
      </c>
      <c r="I85" s="362"/>
      <c r="J85" s="362"/>
      <c r="K85" s="359"/>
    </row>
    <row r="86" spans="1:11" s="360" customFormat="1">
      <c r="A86" s="145" t="s">
        <v>770</v>
      </c>
      <c r="B86" s="361">
        <f>'Sources and Uses Budget'!C86</f>
        <v>646243</v>
      </c>
      <c r="C86" s="362"/>
      <c r="D86" s="362"/>
      <c r="E86" s="361">
        <f>'Sources and Uses Budget'!S86</f>
        <v>646243</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33000</v>
      </c>
      <c r="C88" s="362"/>
      <c r="D88" s="362"/>
      <c r="E88" s="363"/>
      <c r="F88" s="363"/>
      <c r="G88" s="363"/>
      <c r="H88" s="363"/>
      <c r="I88" s="363"/>
      <c r="J88" s="363"/>
      <c r="K88" s="359"/>
    </row>
    <row r="89" spans="1:11" s="360" customFormat="1">
      <c r="A89" s="145" t="s">
        <v>773</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774</v>
      </c>
      <c r="B90" s="361">
        <f>'Sources and Uses Budget'!C90</f>
        <v>25000</v>
      </c>
      <c r="C90" s="362"/>
      <c r="D90" s="362"/>
      <c r="E90" s="361">
        <f>'Sources and Uses Budget'!S90</f>
        <v>25000</v>
      </c>
      <c r="F90" s="362"/>
      <c r="G90" s="362"/>
      <c r="H90" s="361">
        <f>'Sources and Uses Budget'!T90</f>
        <v>0</v>
      </c>
      <c r="I90" s="362"/>
      <c r="J90" s="362"/>
      <c r="K90" s="359"/>
    </row>
    <row r="91" spans="1:11" s="360" customFormat="1">
      <c r="A91" s="155" t="s">
        <v>372</v>
      </c>
      <c r="B91" s="361">
        <f>'Sources and Uses Budget'!C91</f>
        <v>35000</v>
      </c>
      <c r="C91" s="362"/>
      <c r="D91" s="362"/>
      <c r="E91" s="361">
        <f>'Sources and Uses Budget'!S91</f>
        <v>35000</v>
      </c>
      <c r="F91" s="362"/>
      <c r="G91" s="362"/>
      <c r="H91" s="361">
        <f>'Sources and Uses Budget'!T91</f>
        <v>0</v>
      </c>
      <c r="I91" s="362"/>
      <c r="J91" s="362"/>
      <c r="K91" s="359"/>
    </row>
    <row r="92" spans="1:11" s="360" customFormat="1">
      <c r="A92" s="508" t="s">
        <v>1212</v>
      </c>
      <c r="B92" s="361">
        <f>'Sources and Uses Budget'!C92</f>
        <v>35000</v>
      </c>
      <c r="C92" s="362"/>
      <c r="D92" s="362"/>
      <c r="E92" s="361">
        <f>'Sources and Uses Budget'!S92</f>
        <v>35000</v>
      </c>
      <c r="F92" s="362"/>
      <c r="G92" s="362"/>
      <c r="H92" s="361">
        <f>'Sources and Uses Budget'!T92</f>
        <v>0</v>
      </c>
      <c r="I92" s="362"/>
      <c r="J92" s="362"/>
      <c r="K92" s="359"/>
    </row>
    <row r="93" spans="1:11" s="360" customFormat="1">
      <c r="A93" s="364" t="str">
        <f>'Sources and Uses Budget'!$A93</f>
        <v>Security</v>
      </c>
      <c r="B93" s="361">
        <f>'Sources and Uses Budget'!C93</f>
        <v>150000</v>
      </c>
      <c r="C93" s="362"/>
      <c r="D93" s="362"/>
      <c r="E93" s="361">
        <f>'Sources and Uses Budget'!S93</f>
        <v>150000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2860222</v>
      </c>
      <c r="C96" s="361">
        <f>SUM(C83:C95)</f>
        <v>0</v>
      </c>
      <c r="D96" s="361">
        <f>SUM(D83:D95)</f>
        <v>0</v>
      </c>
      <c r="E96" s="361">
        <f>'Sources and Uses Budget'!S96</f>
        <v>2767500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23224190</v>
      </c>
      <c r="C97" s="361">
        <f>SUM(C63+C70+C77+C81+C96)</f>
        <v>0</v>
      </c>
      <c r="D97" s="361">
        <f>SUM(D63+D70+D77+D81+D96)</f>
        <v>0</v>
      </c>
      <c r="E97" s="361">
        <f>'Sources and Uses Budget'!S97</f>
        <v>21755800</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3260000</v>
      </c>
      <c r="C99" s="362"/>
      <c r="D99" s="362"/>
      <c r="E99" s="361">
        <f>'Sources and Uses Budget'!S99</f>
        <v>3260000</v>
      </c>
      <c r="F99" s="362"/>
      <c r="G99" s="362"/>
      <c r="H99" s="361">
        <f>'Sources and Uses Budget'!T99</f>
        <v>0</v>
      </c>
      <c r="I99" s="362"/>
      <c r="J99" s="362"/>
      <c r="K99" s="359"/>
    </row>
    <row r="100" spans="1:11" s="360" customFormat="1">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3260000</v>
      </c>
      <c r="C104" s="361">
        <f>SUM(C99:C103)</f>
        <v>0</v>
      </c>
      <c r="D104" s="361">
        <f>SUM(D99:D103)</f>
        <v>0</v>
      </c>
      <c r="E104" s="361">
        <f>'Sources and Uses Budget'!S104</f>
        <v>3260000</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26484190</v>
      </c>
      <c r="C105" s="367">
        <f>SUM(C97+C104)</f>
        <v>0</v>
      </c>
      <c r="D105" s="367">
        <f>SUM(D97+D104)</f>
        <v>0</v>
      </c>
      <c r="E105" s="361">
        <f>'Sources and Uses Budget'!S105</f>
        <v>25015800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25015800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24" t="s">
        <v>2457</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2456</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6" t="str">
        <f>IF(Application!H18="","",Application!H18)</f>
        <v>Baumgardner Ranch Homes</v>
      </c>
      <c r="M4" s="2317"/>
      <c r="N4" s="2317"/>
      <c r="O4" s="2317"/>
      <c r="P4" s="2317"/>
      <c r="Q4" s="2317"/>
      <c r="R4" s="2317"/>
      <c r="S4" s="2317"/>
      <c r="T4" s="2317"/>
      <c r="U4" s="2317"/>
      <c r="V4" s="2317"/>
      <c r="W4" s="2317"/>
      <c r="X4" s="2317"/>
      <c r="Y4" s="2317"/>
      <c r="Z4" s="2317"/>
      <c r="AA4" s="2317"/>
      <c r="AB4" s="2317"/>
      <c r="AC4" s="2318"/>
      <c r="AD4" s="1190"/>
      <c r="AE4" s="1190"/>
      <c r="AF4" s="2312" t="s">
        <v>2455</v>
      </c>
      <c r="AG4" s="2312"/>
      <c r="AH4" s="2312"/>
      <c r="AI4" s="2312"/>
      <c r="AJ4" s="2312"/>
      <c r="AK4" s="2312"/>
      <c r="AL4" s="2312"/>
      <c r="AM4" s="2312"/>
      <c r="AN4" s="2312"/>
      <c r="AO4" s="2312"/>
      <c r="AP4" s="2313"/>
      <c r="AQ4" s="2314"/>
      <c r="AR4" s="2314"/>
      <c r="AS4" s="2314"/>
      <c r="AT4" s="2314"/>
      <c r="AU4" s="231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2" t="s">
        <v>2454</v>
      </c>
      <c r="AG5" s="2312"/>
      <c r="AH5" s="2312"/>
      <c r="AI5" s="2312"/>
      <c r="AJ5" s="2312"/>
      <c r="AK5" s="2312"/>
      <c r="AL5" s="2312"/>
      <c r="AM5" s="2312"/>
      <c r="AN5" s="2312"/>
      <c r="AO5" s="2312"/>
      <c r="AP5" s="2313"/>
      <c r="AQ5" s="2314"/>
      <c r="AR5" s="2314"/>
      <c r="AS5" s="2314"/>
      <c r="AT5" s="2314"/>
      <c r="AU5" s="2314"/>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16" t="str">
        <f>IF(Application!H16="","",Application!H16)</f>
        <v>Corporation for Better Housing, a 501 (c)(3) non-profit</v>
      </c>
      <c r="M6" s="2317"/>
      <c r="N6" s="2317"/>
      <c r="O6" s="2317"/>
      <c r="P6" s="2317"/>
      <c r="Q6" s="2317"/>
      <c r="R6" s="2317"/>
      <c r="S6" s="2317"/>
      <c r="T6" s="2317"/>
      <c r="U6" s="2317"/>
      <c r="V6" s="2317"/>
      <c r="W6" s="2317"/>
      <c r="X6" s="2317"/>
      <c r="Y6" s="2317"/>
      <c r="Z6" s="2317"/>
      <c r="AA6" s="2317"/>
      <c r="AB6" s="2317"/>
      <c r="AC6" s="2318"/>
      <c r="AD6" s="1190"/>
      <c r="AE6" s="1190"/>
      <c r="AF6" s="2319" t="s">
        <v>2452</v>
      </c>
      <c r="AG6" s="2319"/>
      <c r="AH6" s="2319"/>
      <c r="AI6" s="2319"/>
      <c r="AJ6" s="2319"/>
      <c r="AK6" s="2319"/>
      <c r="AL6" s="2319"/>
      <c r="AM6" s="2319"/>
      <c r="AN6" s="2319"/>
      <c r="AO6" s="2319"/>
      <c r="AP6" s="2320"/>
      <c r="AQ6" s="2320"/>
      <c r="AR6" s="2320"/>
      <c r="AS6" s="2320"/>
      <c r="AT6" s="2320"/>
      <c r="AU6" s="2320"/>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9" t="s">
        <v>2451</v>
      </c>
      <c r="AG7" s="2319"/>
      <c r="AH7" s="2319"/>
      <c r="AI7" s="2319"/>
      <c r="AJ7" s="2319"/>
      <c r="AK7" s="2319"/>
      <c r="AL7" s="2319"/>
      <c r="AM7" s="2319"/>
      <c r="AN7" s="2319"/>
      <c r="AO7" s="2319"/>
      <c r="AP7" s="2320"/>
      <c r="AQ7" s="2320"/>
      <c r="AR7" s="2320"/>
      <c r="AS7" s="2320"/>
      <c r="AT7" s="2320"/>
      <c r="AU7" s="2320"/>
      <c r="AV7" s="1190"/>
      <c r="AW7" s="1190"/>
      <c r="AX7" s="1190"/>
      <c r="AY7" s="1190"/>
      <c r="AZ7" s="1190"/>
      <c r="BA7" s="1190"/>
      <c r="BB7" s="1190"/>
      <c r="BC7" s="1190"/>
      <c r="BD7" s="1190"/>
      <c r="BE7" s="1191"/>
    </row>
    <row r="8" spans="1:6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1" t="str">
        <f>Application!T197</f>
        <v>No</v>
      </c>
      <c r="AC8" s="2322"/>
      <c r="AD8" s="2323"/>
      <c r="AE8" s="1190"/>
      <c r="AF8" s="2319" t="s">
        <v>2449</v>
      </c>
      <c r="AG8" s="2319"/>
      <c r="AH8" s="2319"/>
      <c r="AI8" s="2319"/>
      <c r="AJ8" s="2319"/>
      <c r="AK8" s="2319"/>
      <c r="AL8" s="2319"/>
      <c r="AM8" s="2319"/>
      <c r="AN8" s="2319"/>
      <c r="AO8" s="2319"/>
      <c r="AP8" s="2320" t="s">
        <v>2099</v>
      </c>
      <c r="AQ8" s="2320"/>
      <c r="AR8" s="2320"/>
      <c r="AS8" s="2320"/>
      <c r="AT8" s="2320"/>
      <c r="AU8" s="2320"/>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2" t="s">
        <v>2448</v>
      </c>
      <c r="AG9" s="2312"/>
      <c r="AH9" s="2312"/>
      <c r="AI9" s="2312"/>
      <c r="AJ9" s="2312"/>
      <c r="AK9" s="2312"/>
      <c r="AL9" s="2312"/>
      <c r="AM9" s="2312"/>
      <c r="AN9" s="2312"/>
      <c r="AO9" s="2312"/>
      <c r="AP9" s="2313"/>
      <c r="AQ9" s="2314"/>
      <c r="AR9" s="2314"/>
      <c r="AS9" s="2314"/>
      <c r="AT9" s="2314"/>
      <c r="AU9" s="2314"/>
      <c r="AV9" s="1190"/>
      <c r="AW9" s="1190"/>
      <c r="AX9" s="1190"/>
      <c r="AY9" s="1190"/>
      <c r="AZ9" s="1190"/>
      <c r="BA9" s="1190"/>
      <c r="BB9" s="1190"/>
      <c r="BC9" s="1190"/>
      <c r="BD9" s="1190"/>
      <c r="BE9" s="1191"/>
      <c r="BM9" s="1187" t="s">
        <v>2447</v>
      </c>
    </row>
    <row r="10" spans="1:65" ht="15">
      <c r="A10" s="1189"/>
      <c r="B10" s="1192" t="s">
        <v>2446</v>
      </c>
      <c r="C10" s="1192"/>
      <c r="D10" s="1192"/>
      <c r="E10" s="1192"/>
      <c r="F10" s="1192"/>
      <c r="G10" s="1192"/>
      <c r="H10" s="1192"/>
      <c r="I10" s="1192"/>
      <c r="J10" s="1192"/>
      <c r="K10" s="1192"/>
      <c r="L10" s="1192"/>
      <c r="M10" s="1190"/>
      <c r="N10" s="2315">
        <f>Application!AO627</f>
        <v>5475000</v>
      </c>
      <c r="O10" s="2315"/>
      <c r="P10" s="2315"/>
      <c r="Q10" s="2315"/>
      <c r="R10" s="2315"/>
      <c r="S10" s="2315"/>
      <c r="T10" s="2315"/>
      <c r="U10" s="1190"/>
      <c r="V10" s="1190"/>
      <c r="W10" s="1190"/>
      <c r="X10" s="1193"/>
      <c r="Y10" s="1193"/>
      <c r="Z10" s="1193"/>
      <c r="AA10" s="1193"/>
      <c r="AB10" s="1193"/>
      <c r="AC10" s="1193"/>
      <c r="AD10" s="1193"/>
      <c r="AE10" s="1193"/>
      <c r="AF10" s="2312" t="s">
        <v>2445</v>
      </c>
      <c r="AG10" s="2312"/>
      <c r="AH10" s="2312"/>
      <c r="AI10" s="2312"/>
      <c r="AJ10" s="2312"/>
      <c r="AK10" s="2312"/>
      <c r="AL10" s="2312"/>
      <c r="AM10" s="2312"/>
      <c r="AN10" s="2312"/>
      <c r="AO10" s="2312"/>
      <c r="AP10" s="2313"/>
      <c r="AQ10" s="2314"/>
      <c r="AR10" s="2314"/>
      <c r="AS10" s="2314"/>
      <c r="AT10" s="2314"/>
      <c r="AU10" s="2314"/>
      <c r="AV10" s="1193"/>
      <c r="AW10" s="1193"/>
      <c r="AX10" s="1190"/>
      <c r="AY10" s="1190"/>
      <c r="AZ10" s="1190"/>
      <c r="BA10" s="1190"/>
      <c r="BB10" s="1190"/>
      <c r="BC10" s="1190"/>
      <c r="BD10" s="1190"/>
      <c r="BE10" s="1191"/>
      <c r="BM10" s="1187" t="s">
        <v>2444</v>
      </c>
    </row>
    <row r="11" spans="1:65" ht="15">
      <c r="A11" s="1189"/>
      <c r="B11" s="1192" t="s">
        <v>2443</v>
      </c>
      <c r="C11" s="1192"/>
      <c r="D11" s="1192"/>
      <c r="E11" s="1192"/>
      <c r="F11" s="1192"/>
      <c r="G11" s="1192"/>
      <c r="H11" s="1192"/>
      <c r="I11" s="1192"/>
      <c r="J11" s="1192"/>
      <c r="K11" s="1192"/>
      <c r="L11" s="1192"/>
      <c r="M11" s="1190"/>
      <c r="N11" s="2315">
        <f>Application!AA934</f>
        <v>0</v>
      </c>
      <c r="O11" s="2315"/>
      <c r="P11" s="2315"/>
      <c r="Q11" s="2315"/>
      <c r="R11" s="2315"/>
      <c r="S11" s="2315"/>
      <c r="T11" s="2315"/>
      <c r="U11" s="1190"/>
      <c r="V11" s="1190"/>
      <c r="W11" s="1190"/>
      <c r="X11" s="1193"/>
      <c r="Y11" s="1193"/>
      <c r="Z11" s="1193"/>
      <c r="AA11" s="1193"/>
      <c r="AB11" s="1193"/>
      <c r="AC11" s="1193"/>
      <c r="AD11" s="1193"/>
      <c r="AE11" s="1193"/>
      <c r="AF11" s="2312" t="s">
        <v>2442</v>
      </c>
      <c r="AG11" s="2312"/>
      <c r="AH11" s="2312"/>
      <c r="AI11" s="2312"/>
      <c r="AJ11" s="2312"/>
      <c r="AK11" s="2312"/>
      <c r="AL11" s="2312"/>
      <c r="AM11" s="2312"/>
      <c r="AN11" s="2312"/>
      <c r="AO11" s="2312"/>
      <c r="AP11" s="2313"/>
      <c r="AQ11" s="2314"/>
      <c r="AR11" s="2314"/>
      <c r="AS11" s="2314"/>
      <c r="AT11" s="2314"/>
      <c r="AU11" s="2314"/>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thickBot="1">
      <c r="A13" s="1190"/>
      <c r="B13" s="2303" t="s">
        <v>2440</v>
      </c>
      <c r="C13" s="2304"/>
      <c r="D13" s="2304"/>
      <c r="E13" s="2304"/>
      <c r="F13" s="2304"/>
      <c r="G13" s="2304"/>
      <c r="H13" s="2304"/>
      <c r="I13" s="2304"/>
      <c r="J13" s="2304"/>
      <c r="K13" s="2304"/>
      <c r="L13" s="2304"/>
      <c r="M13" s="2304"/>
      <c r="N13" s="2304"/>
      <c r="O13" s="2304"/>
      <c r="P13" s="2305"/>
      <c r="Q13" s="2306" t="s">
        <v>670</v>
      </c>
      <c r="R13" s="2307"/>
      <c r="S13" s="2307"/>
      <c r="T13" s="2308"/>
      <c r="U13" s="1193"/>
      <c r="V13" s="1190"/>
      <c r="W13" s="1190"/>
      <c r="X13" s="1190"/>
      <c r="Y13" s="1190"/>
      <c r="Z13" s="1190"/>
      <c r="AA13" s="2293" t="s">
        <v>2439</v>
      </c>
      <c r="AB13" s="2293"/>
      <c r="AC13" s="2293"/>
      <c r="AD13" s="2293"/>
      <c r="AE13" s="2293"/>
      <c r="AF13" s="2293"/>
      <c r="AG13" s="2293"/>
      <c r="AH13" s="2293"/>
      <c r="AI13" s="2293"/>
      <c r="AJ13" s="2293"/>
      <c r="AK13" s="2293"/>
      <c r="AL13" s="2293"/>
      <c r="AM13" s="2293"/>
      <c r="AN13" s="2293"/>
      <c r="AO13" s="2309">
        <f>Application!W473</f>
        <v>0</v>
      </c>
      <c r="AP13" s="2310"/>
      <c r="AQ13" s="2310"/>
      <c r="AR13" s="2310"/>
      <c r="AS13" s="2310"/>
      <c r="AT13" s="1193"/>
      <c r="AU13" s="1193"/>
      <c r="AV13" s="1193"/>
      <c r="AW13" s="1193"/>
      <c r="AX13" s="1193"/>
      <c r="AY13" s="1193"/>
      <c r="AZ13" s="1193"/>
      <c r="BA13" s="1193"/>
      <c r="BB13" s="1193"/>
      <c r="BC13" s="1193"/>
      <c r="BD13" s="1193"/>
      <c r="BE13" s="1194"/>
      <c r="BM13" s="1187" t="s">
        <v>2438</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1" t="s">
        <v>2437</v>
      </c>
      <c r="AB14" s="2311"/>
      <c r="AC14" s="2311"/>
      <c r="AD14" s="2311"/>
      <c r="AE14" s="2311"/>
      <c r="AF14" s="2311"/>
      <c r="AG14" s="2311"/>
      <c r="AH14" s="2311"/>
      <c r="AI14" s="2311"/>
      <c r="AJ14" s="2311"/>
      <c r="AK14" s="2311"/>
      <c r="AL14" s="2311"/>
      <c r="AM14" s="2311"/>
      <c r="AN14" s="2311"/>
      <c r="AO14" s="2294"/>
      <c r="AP14" s="2295"/>
      <c r="AQ14" s="2295"/>
      <c r="AR14" s="2295"/>
      <c r="AS14" s="2295"/>
      <c r="AT14" s="1193"/>
      <c r="AU14" s="1193"/>
      <c r="AV14" s="1193"/>
      <c r="AW14" s="1193"/>
      <c r="AX14" s="1193"/>
      <c r="AY14" s="1193"/>
      <c r="AZ14" s="1193"/>
      <c r="BA14" s="1193"/>
      <c r="BB14" s="1193"/>
      <c r="BC14" s="1193"/>
      <c r="BD14" s="1193"/>
      <c r="BE14" s="1194"/>
    </row>
    <row r="15" spans="1:65" thickBot="1">
      <c r="A15" s="1190"/>
      <c r="B15" s="2288" t="s">
        <v>2436</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3"/>
      <c r="Y15" s="1190"/>
      <c r="Z15" s="1190"/>
      <c r="AA15" s="2293" t="s">
        <v>2435</v>
      </c>
      <c r="AB15" s="2293"/>
      <c r="AC15" s="2293"/>
      <c r="AD15" s="2293"/>
      <c r="AE15" s="2293"/>
      <c r="AF15" s="2293"/>
      <c r="AG15" s="2293"/>
      <c r="AH15" s="2293"/>
      <c r="AI15" s="2293"/>
      <c r="AJ15" s="2293"/>
      <c r="AK15" s="2293"/>
      <c r="AL15" s="2293"/>
      <c r="AM15" s="2293"/>
      <c r="AN15" s="2293"/>
      <c r="AO15" s="2294"/>
      <c r="AP15" s="2295"/>
      <c r="AQ15" s="2295"/>
      <c r="AR15" s="2295"/>
      <c r="AS15" s="229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1" t="s">
        <v>2434</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190"/>
      <c r="BA17" s="1190"/>
      <c r="BB17" s="1190"/>
      <c r="BC17" s="1190"/>
      <c r="BD17" s="1190"/>
      <c r="BE17" s="1194"/>
      <c r="BF17" s="1188"/>
    </row>
    <row r="18" spans="1:58" ht="15.75" customHeight="1">
      <c r="A18" s="1190"/>
      <c r="B18" s="2296" t="s">
        <v>2433</v>
      </c>
      <c r="C18" s="2297"/>
      <c r="D18" s="2297"/>
      <c r="E18" s="2297"/>
      <c r="F18" s="2297"/>
      <c r="G18" s="2297"/>
      <c r="H18" s="2297"/>
      <c r="I18" s="2298"/>
      <c r="J18" s="2299" t="s">
        <v>1587</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2432</v>
      </c>
      <c r="AU18" s="2300"/>
      <c r="AV18" s="2300"/>
      <c r="AW18" s="2300"/>
      <c r="AX18" s="2300"/>
      <c r="AY18" s="2302"/>
      <c r="AZ18" s="1190"/>
      <c r="BA18" s="1190"/>
      <c r="BB18" s="1190"/>
      <c r="BC18" s="1190"/>
      <c r="BD18" s="1190"/>
      <c r="BE18" s="1194"/>
    </row>
    <row r="19" spans="1:58" ht="15">
      <c r="A19" s="1190"/>
      <c r="B19" s="2282">
        <v>0.3</v>
      </c>
      <c r="C19" s="2283"/>
      <c r="D19" s="2283"/>
      <c r="E19" s="2283"/>
      <c r="F19" s="2283"/>
      <c r="G19" s="2283"/>
      <c r="H19" s="2283"/>
      <c r="I19" s="2284"/>
      <c r="J19" s="2285">
        <f t="shared" ref="J19:J24" si="0">SUM(P19:AS19)</f>
        <v>4</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0</v>
      </c>
      <c r="W19" s="2286"/>
      <c r="X19" s="2286"/>
      <c r="Y19" s="2286"/>
      <c r="Z19" s="2286"/>
      <c r="AA19" s="2287"/>
      <c r="AB19" s="2285" cm="1">
        <f t="array" ref="AB19">SUMPRODUCT((Application!$B$714:$B$738 = 'CalHFA Addendum'!AB$18)*(Application!$AC$714:$AC$738 = 'CalHFA Addendum'!$B19),Application!$G$714:$G$738)</f>
        <v>0</v>
      </c>
      <c r="AC19" s="2286"/>
      <c r="AD19" s="2286"/>
      <c r="AE19" s="2286"/>
      <c r="AF19" s="2286"/>
      <c r="AG19" s="2287"/>
      <c r="AH19" s="2285" cm="1">
        <f t="array" ref="AH19">SUMPRODUCT((Application!$B$714:$B$738 = 'CalHFA Addendum'!AH$18)*(Application!$AC$714:$AC$738 = 'CalHFA Addendum'!$B19),Application!$G$714:$G$738)</f>
        <v>4</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0.12121212121212122</v>
      </c>
      <c r="AU19" s="2271"/>
      <c r="AV19" s="2271"/>
      <c r="AW19" s="2271"/>
      <c r="AX19" s="2271"/>
      <c r="AY19" s="2272"/>
      <c r="AZ19" s="1195"/>
      <c r="BA19" s="1190"/>
      <c r="BB19" s="1190"/>
      <c r="BC19" s="1190"/>
      <c r="BD19" s="1190"/>
      <c r="BE19" s="1194"/>
    </row>
    <row r="20" spans="1:58" ht="15" customHeight="1">
      <c r="A20" s="1190"/>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90"/>
      <c r="BA20" s="1190"/>
      <c r="BB20" s="1190"/>
      <c r="BC20" s="1190"/>
      <c r="BD20" s="1190"/>
      <c r="BE20" s="1194"/>
    </row>
    <row r="21" spans="1:58" ht="15">
      <c r="A21" s="1190"/>
      <c r="B21" s="2282">
        <v>0.5</v>
      </c>
      <c r="C21" s="2283"/>
      <c r="D21" s="2283"/>
      <c r="E21" s="2283"/>
      <c r="F21" s="2283"/>
      <c r="G21" s="2283"/>
      <c r="H21" s="2283"/>
      <c r="I21" s="2284"/>
      <c r="J21" s="2285">
        <f t="shared" si="0"/>
        <v>4</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0</v>
      </c>
      <c r="W21" s="2286"/>
      <c r="X21" s="2286"/>
      <c r="Y21" s="2286"/>
      <c r="Z21" s="2286"/>
      <c r="AA21" s="2287"/>
      <c r="AB21" s="2285" cm="1">
        <f t="array" ref="AB21">SUMPRODUCT((Application!$B$714:$B$738 = 'CalHFA Addendum'!AB$18)*(Application!$AC$714:$AC$738 = 'CalHFA Addendum'!$B21),Application!$G$714:$G$738)</f>
        <v>0</v>
      </c>
      <c r="AC21" s="2286"/>
      <c r="AD21" s="2286"/>
      <c r="AE21" s="2286"/>
      <c r="AF21" s="2286"/>
      <c r="AG21" s="2287"/>
      <c r="AH21" s="2285" cm="1">
        <f t="array" ref="AH21">SUMPRODUCT((Application!$B$714:$B$738 = 'CalHFA Addendum'!AH$18)*(Application!$AC$714:$AC$738 = 'CalHFA Addendum'!$B21),Application!$G$714:$G$738)</f>
        <v>4</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0.12121212121212122</v>
      </c>
      <c r="AU21" s="2271"/>
      <c r="AV21" s="2271"/>
      <c r="AW21" s="2271"/>
      <c r="AX21" s="2271"/>
      <c r="AY21" s="2272"/>
      <c r="AZ21" s="1190"/>
      <c r="BA21" s="1190"/>
      <c r="BB21" s="1190"/>
      <c r="BC21" s="1190"/>
      <c r="BD21" s="1190"/>
      <c r="BE21" s="1194"/>
    </row>
    <row r="22" spans="1:58" ht="15">
      <c r="A22" s="1190"/>
      <c r="B22" s="2282">
        <v>0.6</v>
      </c>
      <c r="C22" s="2283"/>
      <c r="D22" s="2283"/>
      <c r="E22" s="2283"/>
      <c r="F22" s="2283"/>
      <c r="G22" s="2283"/>
      <c r="H22" s="2283"/>
      <c r="I22" s="2284"/>
      <c r="J22" s="2285">
        <f t="shared" si="0"/>
        <v>10</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0</v>
      </c>
      <c r="W22" s="2286"/>
      <c r="X22" s="2286"/>
      <c r="Y22" s="2286"/>
      <c r="Z22" s="2286"/>
      <c r="AA22" s="2287"/>
      <c r="AB22" s="2285" cm="1">
        <f t="array" ref="AB22">SUMPRODUCT((Application!$B$714:$B$738 = 'CalHFA Addendum'!AB$18)*(Application!$AC$714:$AC$738 = 'CalHFA Addendum'!$B22),Application!$G$714:$G$738)</f>
        <v>0</v>
      </c>
      <c r="AC22" s="2286"/>
      <c r="AD22" s="2286"/>
      <c r="AE22" s="2286"/>
      <c r="AF22" s="2286"/>
      <c r="AG22" s="2287"/>
      <c r="AH22" s="2285" cm="1">
        <f t="array" ref="AH22">SUMPRODUCT((Application!$B$714:$B$738 = 'CalHFA Addendum'!AH$18)*(Application!$AC$714:$AC$738 = 'CalHFA Addendum'!$B22),Application!$G$714:$G$738)</f>
        <v>10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0.30303030303030304</v>
      </c>
      <c r="AU22" s="2271"/>
      <c r="AV22" s="2271"/>
      <c r="AW22" s="2271"/>
      <c r="AX22" s="2271"/>
      <c r="AY22" s="2272"/>
      <c r="AZ22" s="1190"/>
      <c r="BA22" s="1190"/>
      <c r="BB22" s="1190"/>
      <c r="BC22" s="1190"/>
      <c r="BD22" s="1190"/>
      <c r="BE22" s="1194"/>
    </row>
    <row r="23" spans="1:58" ht="15">
      <c r="A23" s="1190"/>
      <c r="B23" s="2282">
        <v>0.7</v>
      </c>
      <c r="C23" s="2283"/>
      <c r="D23" s="2283"/>
      <c r="E23" s="2283"/>
      <c r="F23" s="2283"/>
      <c r="G23" s="2283"/>
      <c r="H23" s="2283"/>
      <c r="I23" s="2284"/>
      <c r="J23" s="2285">
        <f t="shared" si="0"/>
        <v>14</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14</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0.42424242424242425</v>
      </c>
      <c r="AU23" s="2271"/>
      <c r="AV23" s="2271"/>
      <c r="AW23" s="2271"/>
      <c r="AX23" s="2271"/>
      <c r="AY23" s="2272"/>
      <c r="AZ23" s="1190"/>
      <c r="BA23" s="1190"/>
      <c r="BB23" s="1190"/>
      <c r="BC23" s="1190"/>
      <c r="BD23" s="1190"/>
      <c r="BE23" s="1194"/>
    </row>
    <row r="24" spans="1:58" ht="15">
      <c r="A24" s="1190"/>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90"/>
      <c r="BA24" s="1190"/>
      <c r="BB24" s="1190"/>
      <c r="BC24" s="1190"/>
      <c r="BD24" s="1190"/>
      <c r="BE24" s="1194"/>
    </row>
    <row r="25" spans="1:58" ht="15">
      <c r="A25" s="1190"/>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90"/>
      <c r="BA25" s="1190"/>
      <c r="BB25" s="1190"/>
      <c r="BC25" s="1190"/>
      <c r="BD25" s="1190"/>
      <c r="BE25" s="1194"/>
    </row>
    <row r="26" spans="1:58" ht="15">
      <c r="A26" s="1190"/>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90"/>
      <c r="BA26" s="1190"/>
      <c r="BB26" s="1190"/>
      <c r="BC26" s="1190"/>
      <c r="BD26" s="1190"/>
      <c r="BE26" s="1194"/>
    </row>
    <row r="27" spans="1:58" ht="15">
      <c r="A27" s="1190"/>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90"/>
      <c r="BA27" s="1190"/>
      <c r="BB27" s="1190"/>
      <c r="BC27" s="1190"/>
      <c r="BD27" s="1190"/>
      <c r="BE27" s="1194"/>
    </row>
    <row r="28" spans="1:58" thickBot="1">
      <c r="A28" s="1190"/>
      <c r="B28" s="2273" t="s">
        <v>2431</v>
      </c>
      <c r="C28" s="2274"/>
      <c r="D28" s="2274"/>
      <c r="E28" s="2274"/>
      <c r="F28" s="2274"/>
      <c r="G28" s="2274"/>
      <c r="H28" s="2274"/>
      <c r="I28" s="2275"/>
      <c r="J28" s="2276">
        <f>SUM(P28:AS28)</f>
        <v>1</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0</v>
      </c>
      <c r="AC28" s="2277"/>
      <c r="AD28" s="2277"/>
      <c r="AE28" s="2277"/>
      <c r="AF28" s="2277"/>
      <c r="AG28" s="2278"/>
      <c r="AH28" s="2276">
        <f>_xlfn.IFNA(VLOOKUP(AH$18,Application!$J$773:$S$776,6,FALSE), 0)</f>
        <v>1</v>
      </c>
      <c r="AI28" s="2277"/>
      <c r="AJ28" s="2277"/>
      <c r="AK28" s="2277"/>
      <c r="AL28" s="2277"/>
      <c r="AM28" s="2278"/>
      <c r="AN28" s="2276">
        <f>_xlfn.IFNA(VLOOKUP(AN$18,Application!$J$773:$S$776,6,FALSE), 0)</f>
        <v>0</v>
      </c>
      <c r="AO28" s="2277"/>
      <c r="AP28" s="2277"/>
      <c r="AQ28" s="2277"/>
      <c r="AR28" s="2277"/>
      <c r="AS28" s="2278"/>
      <c r="AT28" s="2279">
        <f t="shared" si="1"/>
        <v>3.0303030303030304E-2</v>
      </c>
      <c r="AU28" s="2280"/>
      <c r="AV28" s="2280"/>
      <c r="AW28" s="2280"/>
      <c r="AX28" s="2280"/>
      <c r="AY28" s="2281"/>
      <c r="AZ28" s="1190"/>
      <c r="BA28" s="1190"/>
      <c r="BB28" s="1190"/>
      <c r="BC28" s="1190"/>
      <c r="BD28" s="1190"/>
      <c r="BE28" s="1194"/>
    </row>
    <row r="29" spans="1:58" thickBot="1">
      <c r="A29" s="1190"/>
      <c r="B29" s="2256" t="s">
        <v>1587</v>
      </c>
      <c r="C29" s="2229"/>
      <c r="D29" s="2229"/>
      <c r="E29" s="2229"/>
      <c r="F29" s="2229"/>
      <c r="G29" s="2229"/>
      <c r="H29" s="2229"/>
      <c r="I29" s="2230"/>
      <c r="J29" s="2228">
        <f>SUM(J19:O28)</f>
        <v>33</v>
      </c>
      <c r="K29" s="2229"/>
      <c r="L29" s="2229"/>
      <c r="M29" s="2229"/>
      <c r="N29" s="2229"/>
      <c r="O29" s="2230"/>
      <c r="P29" s="2228">
        <f>SUM(P19:U28)</f>
        <v>0</v>
      </c>
      <c r="Q29" s="2229"/>
      <c r="R29" s="2229"/>
      <c r="S29" s="2229"/>
      <c r="T29" s="2229"/>
      <c r="U29" s="2230"/>
      <c r="V29" s="2228">
        <f>SUM(V19:AA28)</f>
        <v>0</v>
      </c>
      <c r="W29" s="2229"/>
      <c r="X29" s="2229"/>
      <c r="Y29" s="2229"/>
      <c r="Z29" s="2229"/>
      <c r="AA29" s="2230"/>
      <c r="AB29" s="2228">
        <f>SUM(AB19:AG28)</f>
        <v>0</v>
      </c>
      <c r="AC29" s="2229"/>
      <c r="AD29" s="2229"/>
      <c r="AE29" s="2229"/>
      <c r="AF29" s="2229"/>
      <c r="AG29" s="2230"/>
      <c r="AH29" s="2228">
        <f>SUM(AH19:AM28)</f>
        <v>33</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4" t="s">
        <v>2430</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4"/>
    </row>
    <row r="32" spans="1:58" thickBot="1">
      <c r="A32" s="1190"/>
      <c r="B32" s="2237" t="s">
        <v>2429</v>
      </c>
      <c r="C32" s="2238"/>
      <c r="D32" s="2238"/>
      <c r="E32" s="2238"/>
      <c r="F32" s="2238"/>
      <c r="G32" s="2238"/>
      <c r="H32" s="2238"/>
      <c r="I32" s="2238"/>
      <c r="J32" s="2241" t="s">
        <v>2428</v>
      </c>
      <c r="K32" s="2242"/>
      <c r="L32" s="2242"/>
      <c r="M32" s="2242"/>
      <c r="N32" s="2241" t="s">
        <v>2427</v>
      </c>
      <c r="O32" s="2242"/>
      <c r="P32" s="2242"/>
      <c r="Q32" s="2244"/>
      <c r="R32" s="2246" t="s">
        <v>2426</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4"/>
    </row>
    <row r="33" spans="1:58" ht="15" customHeight="1">
      <c r="A33" s="1190"/>
      <c r="B33" s="2239"/>
      <c r="C33" s="2240"/>
      <c r="D33" s="2240"/>
      <c r="E33" s="2240"/>
      <c r="F33" s="2240"/>
      <c r="G33" s="2240"/>
      <c r="H33" s="2240"/>
      <c r="I33" s="2240"/>
      <c r="J33" s="2243"/>
      <c r="K33" s="2243"/>
      <c r="L33" s="2243"/>
      <c r="M33" s="2243"/>
      <c r="N33" s="2243"/>
      <c r="O33" s="2243"/>
      <c r="P33" s="2243"/>
      <c r="Q33" s="2245"/>
      <c r="R33" s="2249" t="s">
        <v>2425</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4"/>
    </row>
    <row r="34" spans="1:58" ht="15.75" customHeight="1" thickBot="1">
      <c r="A34" s="1190"/>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4"/>
    </row>
    <row r="35" spans="1:58" ht="15.75" customHeight="1">
      <c r="A35" s="1190"/>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2424</v>
      </c>
      <c r="AT35" s="2258"/>
      <c r="AU35" s="2258"/>
      <c r="AV35" s="2258"/>
      <c r="AW35" s="2258"/>
      <c r="AX35" s="2266"/>
      <c r="AY35" s="2257" t="s">
        <v>2423</v>
      </c>
      <c r="AZ35" s="2258"/>
      <c r="BA35" s="2258"/>
      <c r="BB35" s="2258"/>
      <c r="BC35" s="2258"/>
      <c r="BD35" s="2259"/>
      <c r="BE35" s="1194"/>
    </row>
    <row r="36" spans="1:58" ht="15.75" customHeight="1">
      <c r="A36" s="1190"/>
      <c r="B36" s="2161" t="s">
        <v>2422</v>
      </c>
      <c r="C36" s="2162"/>
      <c r="D36" s="2162"/>
      <c r="E36" s="2162"/>
      <c r="F36" s="2162"/>
      <c r="G36" s="2162"/>
      <c r="H36" s="2162"/>
      <c r="I36" s="2162"/>
      <c r="J36" s="2226" t="s">
        <v>2421</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4"/>
    </row>
    <row r="37" spans="1:58" ht="15.75" customHeight="1">
      <c r="A37" s="1190"/>
      <c r="B37" s="2161" t="s">
        <v>2420</v>
      </c>
      <c r="C37" s="2162"/>
      <c r="D37" s="2162"/>
      <c r="E37" s="2162"/>
      <c r="F37" s="2162"/>
      <c r="G37" s="2162"/>
      <c r="H37" s="2162"/>
      <c r="I37" s="2162"/>
      <c r="J37" s="2226" t="s">
        <v>2419</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4"/>
    </row>
    <row r="38" spans="1:58" ht="15.75" customHeight="1">
      <c r="A38" s="1190"/>
      <c r="B38" s="2161" t="s">
        <v>2418</v>
      </c>
      <c r="C38" s="2162"/>
      <c r="D38" s="2162"/>
      <c r="E38" s="2162"/>
      <c r="F38" s="2162"/>
      <c r="G38" s="2162"/>
      <c r="H38" s="2162"/>
      <c r="I38" s="2162"/>
      <c r="J38" s="2226" t="s">
        <v>2417</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4"/>
    </row>
    <row r="39" spans="1:58" ht="15.75" customHeight="1">
      <c r="A39" s="1190"/>
      <c r="B39" s="2161" t="s">
        <v>2416</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4"/>
    </row>
    <row r="40" spans="1:58" ht="15.75" customHeight="1">
      <c r="A40" s="1190"/>
      <c r="B40" s="2161" t="s">
        <v>2416</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4"/>
    </row>
    <row r="41" spans="1:58" ht="15.75" customHeight="1">
      <c r="A41" s="1190"/>
      <c r="B41" s="2161" t="s">
        <v>2415</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4"/>
    </row>
    <row r="42" spans="1:58" ht="15.75" customHeight="1">
      <c r="A42" s="1190"/>
      <c r="B42" s="2161" t="s">
        <v>2415</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4"/>
    </row>
    <row r="43" spans="1:58" ht="15.75" customHeight="1">
      <c r="A43" s="1190"/>
      <c r="B43" s="2166" t="s">
        <v>2414</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4"/>
    </row>
    <row r="44" spans="1:58" ht="15.75" customHeight="1">
      <c r="A44" s="1190"/>
      <c r="B44" s="2166" t="s">
        <v>2413</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4"/>
    </row>
    <row r="45" spans="1:58" ht="15.75" customHeight="1">
      <c r="A45" s="1190"/>
      <c r="B45" s="2166" t="s">
        <v>2412</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4"/>
    </row>
    <row r="46" spans="1:58" ht="15.75" customHeight="1">
      <c r="A46" s="1190"/>
      <c r="B46" s="2166" t="s">
        <v>2336</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4"/>
    </row>
    <row r="47" spans="1:58" ht="15.75" customHeight="1" thickBot="1">
      <c r="A47" s="1190"/>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3" t="s">
        <v>2409</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6" t="s">
        <v>2402</v>
      </c>
      <c r="C51" s="2104"/>
      <c r="D51" s="2104"/>
      <c r="E51" s="2104"/>
      <c r="F51" s="2104"/>
      <c r="G51" s="2104"/>
      <c r="H51" s="2104"/>
      <c r="I51" s="2104"/>
      <c r="J51" s="2104" t="s">
        <v>2408</v>
      </c>
      <c r="K51" s="2104"/>
      <c r="L51" s="2104"/>
      <c r="M51" s="2104"/>
      <c r="N51" s="2104"/>
      <c r="O51" s="2104"/>
      <c r="P51" s="2104"/>
      <c r="Q51" s="2104"/>
      <c r="R51" s="2205" t="s">
        <v>2407</v>
      </c>
      <c r="S51" s="2205"/>
      <c r="T51" s="2205"/>
      <c r="U51" s="2205"/>
      <c r="V51" s="2205"/>
      <c r="W51" s="2205"/>
      <c r="X51" s="2205"/>
      <c r="Y51" s="2205"/>
      <c r="Z51" s="2205" t="s">
        <v>2406</v>
      </c>
      <c r="AA51" s="2205"/>
      <c r="AB51" s="2205"/>
      <c r="AC51" s="2205"/>
      <c r="AD51" s="2205"/>
      <c r="AE51" s="2205"/>
      <c r="AF51" s="2205"/>
      <c r="AG51" s="2205"/>
      <c r="AH51" s="2205" t="s">
        <v>2405</v>
      </c>
      <c r="AI51" s="2205"/>
      <c r="AJ51" s="2205"/>
      <c r="AK51" s="2205"/>
      <c r="AL51" s="2205"/>
      <c r="AM51" s="2205"/>
      <c r="AN51" s="2205"/>
      <c r="AO51" s="220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6" t="s">
        <v>2404</v>
      </c>
      <c r="C52" s="2167"/>
      <c r="D52" s="2167"/>
      <c r="E52" s="2167"/>
      <c r="F52" s="2167"/>
      <c r="G52" s="2167"/>
      <c r="H52" s="2167"/>
      <c r="I52" s="2167"/>
      <c r="J52" s="1990">
        <v>0</v>
      </c>
      <c r="K52" s="1990"/>
      <c r="L52" s="1990"/>
      <c r="M52" s="1990"/>
      <c r="N52" s="1990"/>
      <c r="O52" s="1990"/>
      <c r="P52" s="1990"/>
      <c r="Q52" s="1990"/>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6" t="s">
        <v>2403</v>
      </c>
      <c r="C53" s="2167"/>
      <c r="D53" s="2167"/>
      <c r="E53" s="2167"/>
      <c r="F53" s="2167"/>
      <c r="G53" s="2167"/>
      <c r="H53" s="2167"/>
      <c r="I53" s="2167"/>
      <c r="J53" s="1990">
        <v>0</v>
      </c>
      <c r="K53" s="1990"/>
      <c r="L53" s="1990"/>
      <c r="M53" s="1990"/>
      <c r="N53" s="1990"/>
      <c r="O53" s="1990"/>
      <c r="P53" s="1990"/>
      <c r="Q53" s="1990"/>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6"/>
      <c r="C54" s="2167"/>
      <c r="D54" s="2167"/>
      <c r="E54" s="2167"/>
      <c r="F54" s="2167"/>
      <c r="G54" s="2167"/>
      <c r="H54" s="2167"/>
      <c r="I54" s="2167"/>
      <c r="J54" s="1990"/>
      <c r="K54" s="1990"/>
      <c r="L54" s="1990"/>
      <c r="M54" s="1990"/>
      <c r="N54" s="1990"/>
      <c r="O54" s="1990"/>
      <c r="P54" s="1990"/>
      <c r="Q54" s="1990"/>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6"/>
      <c r="C55" s="2167"/>
      <c r="D55" s="2167"/>
      <c r="E55" s="2167"/>
      <c r="F55" s="2167"/>
      <c r="G55" s="2167"/>
      <c r="H55" s="2167"/>
      <c r="I55" s="2167"/>
      <c r="J55" s="1990"/>
      <c r="K55" s="1990"/>
      <c r="L55" s="1990"/>
      <c r="M55" s="1990"/>
      <c r="N55" s="1990"/>
      <c r="O55" s="1990"/>
      <c r="P55" s="1990"/>
      <c r="Q55" s="1990"/>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6"/>
      <c r="C56" s="2167"/>
      <c r="D56" s="2167"/>
      <c r="E56" s="2167"/>
      <c r="F56" s="2167"/>
      <c r="G56" s="2167"/>
      <c r="H56" s="2167"/>
      <c r="I56" s="2167"/>
      <c r="J56" s="1990"/>
      <c r="K56" s="1990"/>
      <c r="L56" s="1990"/>
      <c r="M56" s="1990"/>
      <c r="N56" s="1990"/>
      <c r="O56" s="1990"/>
      <c r="P56" s="1990"/>
      <c r="Q56" s="1990"/>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4" t="s">
        <v>1587</v>
      </c>
      <c r="C57" s="2135"/>
      <c r="D57" s="2135"/>
      <c r="E57" s="2135"/>
      <c r="F57" s="2135"/>
      <c r="G57" s="2135"/>
      <c r="H57" s="2135"/>
      <c r="I57" s="2135"/>
      <c r="J57" s="2135"/>
      <c r="K57" s="2135"/>
      <c r="L57" s="2135"/>
      <c r="M57" s="2135"/>
      <c r="N57" s="2135"/>
      <c r="O57" s="2135"/>
      <c r="P57" s="2135"/>
      <c r="Q57" s="2135"/>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4" t="s">
        <v>2402</v>
      </c>
      <c r="C59" s="2195"/>
      <c r="D59" s="2195"/>
      <c r="E59" s="2195"/>
      <c r="F59" s="2195"/>
      <c r="G59" s="2195"/>
      <c r="H59" s="2195"/>
      <c r="I59" s="2196"/>
      <c r="J59" s="2102" t="s">
        <v>2401</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190"/>
      <c r="AY59" s="1190"/>
      <c r="AZ59" s="1190"/>
      <c r="BA59" s="1190"/>
      <c r="BB59" s="1190"/>
      <c r="BC59" s="1190"/>
      <c r="BD59" s="1190"/>
      <c r="BE59" s="1194"/>
    </row>
    <row r="60" spans="1:77" ht="15.75" customHeight="1">
      <c r="A60" s="1190"/>
      <c r="B60" s="2186" t="str">
        <f>IF(B52="", "", B52)</f>
        <v>Services Company 1</v>
      </c>
      <c r="C60" s="2187"/>
      <c r="D60" s="2187"/>
      <c r="E60" s="2187"/>
      <c r="F60" s="2187"/>
      <c r="G60" s="2187"/>
      <c r="H60" s="2187"/>
      <c r="I60" s="2188"/>
      <c r="J60" s="2189"/>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190"/>
      <c r="AY60" s="1190"/>
      <c r="AZ60" s="1190"/>
      <c r="BA60" s="1190"/>
      <c r="BB60" s="1190"/>
      <c r="BC60" s="1190"/>
      <c r="BD60" s="1190"/>
      <c r="BE60" s="1194"/>
    </row>
    <row r="61" spans="1:77" ht="15.75" customHeight="1">
      <c r="A61" s="1190"/>
      <c r="B61" s="2186" t="str">
        <f>IF(B53="", "", B53)</f>
        <v>Services Company 2</v>
      </c>
      <c r="C61" s="2187"/>
      <c r="D61" s="2187"/>
      <c r="E61" s="2187"/>
      <c r="F61" s="2187"/>
      <c r="G61" s="2187"/>
      <c r="H61" s="2187"/>
      <c r="I61" s="2188"/>
      <c r="J61" s="2189"/>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190"/>
      <c r="AY61" s="1190"/>
      <c r="AZ61" s="1190"/>
      <c r="BA61" s="1190"/>
      <c r="BB61" s="1190"/>
      <c r="BC61" s="1190"/>
      <c r="BD61" s="1190"/>
      <c r="BE61" s="1194"/>
    </row>
    <row r="62" spans="1:77" ht="15.75" customHeight="1">
      <c r="A62" s="1190"/>
      <c r="B62" s="2186" t="str">
        <f>IF(B54="", "", B54)</f>
        <v/>
      </c>
      <c r="C62" s="2187"/>
      <c r="D62" s="2187"/>
      <c r="E62" s="2187"/>
      <c r="F62" s="2187"/>
      <c r="G62" s="2187"/>
      <c r="H62" s="2187"/>
      <c r="I62" s="2188"/>
      <c r="J62" s="2189"/>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190"/>
      <c r="AY62" s="1190"/>
      <c r="AZ62" s="1190"/>
      <c r="BA62" s="1190"/>
      <c r="BB62" s="1190"/>
      <c r="BC62" s="1190"/>
      <c r="BD62" s="1190"/>
      <c r="BE62" s="1194"/>
    </row>
    <row r="63" spans="1:77" ht="15.75" customHeight="1">
      <c r="A63" s="1190"/>
      <c r="B63" s="2186" t="str">
        <f>IF(B55="", "", B55)</f>
        <v/>
      </c>
      <c r="C63" s="2187"/>
      <c r="D63" s="2187"/>
      <c r="E63" s="2187"/>
      <c r="F63" s="2187"/>
      <c r="G63" s="2187"/>
      <c r="H63" s="2187"/>
      <c r="I63" s="2188"/>
      <c r="J63" s="2189"/>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190"/>
      <c r="AY63" s="1190"/>
      <c r="AZ63" s="1190"/>
      <c r="BA63" s="1190"/>
      <c r="BB63" s="1190"/>
      <c r="BC63" s="1190"/>
      <c r="BD63" s="1190"/>
      <c r="BE63" s="1194"/>
    </row>
    <row r="64" spans="1:77" ht="15.75" customHeight="1" thickBot="1">
      <c r="A64" s="1190"/>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1" t="s">
        <v>2399</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190"/>
      <c r="AC68" s="2027" t="s">
        <v>2398</v>
      </c>
      <c r="AD68" s="2028"/>
      <c r="AE68" s="2028"/>
      <c r="AF68" s="2028"/>
      <c r="AG68" s="2028"/>
      <c r="AH68" s="2028"/>
      <c r="AI68" s="2028"/>
      <c r="AJ68" s="2028"/>
      <c r="AK68" s="2028"/>
      <c r="AL68" s="2028"/>
      <c r="AM68" s="2028"/>
      <c r="AN68" s="2028"/>
      <c r="AO68" s="2028"/>
      <c r="AP68" s="2028"/>
      <c r="AQ68" s="2028"/>
      <c r="AR68" s="2028"/>
      <c r="AS68" s="2028"/>
      <c r="AT68" s="2028"/>
      <c r="AU68" s="2028"/>
      <c r="AV68" s="2178" t="s">
        <v>670</v>
      </c>
      <c r="AW68" s="2084"/>
      <c r="AX68" s="2084"/>
      <c r="AY68" s="2084"/>
      <c r="AZ68" s="2084"/>
      <c r="BA68" s="2084"/>
      <c r="BB68" s="2084"/>
      <c r="BC68" s="2085"/>
      <c r="BD68" s="1190"/>
      <c r="BE68" s="1194"/>
      <c r="BM68" s="1199" t="s">
        <v>2397</v>
      </c>
    </row>
    <row r="69" spans="1:94" ht="15.75" customHeight="1" thickTop="1" thickBot="1">
      <c r="A69" s="1190"/>
      <c r="B69" s="2179" t="s">
        <v>2396</v>
      </c>
      <c r="C69" s="2180"/>
      <c r="D69" s="2180"/>
      <c r="E69" s="2180"/>
      <c r="F69" s="2180"/>
      <c r="G69" s="2180"/>
      <c r="H69" s="2180"/>
      <c r="I69" s="2180"/>
      <c r="J69" s="2180"/>
      <c r="K69" s="2180"/>
      <c r="L69" s="2180"/>
      <c r="M69" s="2180"/>
      <c r="N69" s="2180"/>
      <c r="O69" s="2181" t="s">
        <v>2395</v>
      </c>
      <c r="P69" s="2182"/>
      <c r="Q69" s="2182"/>
      <c r="R69" s="2182"/>
      <c r="S69" s="2182"/>
      <c r="T69" s="2182"/>
      <c r="U69" s="2182"/>
      <c r="V69" s="2182"/>
      <c r="W69" s="2182"/>
      <c r="X69" s="2182"/>
      <c r="Y69" s="2182"/>
      <c r="Z69" s="2182"/>
      <c r="AA69" s="2183"/>
      <c r="AB69" s="1190"/>
      <c r="AC69" s="2184" t="s">
        <v>2394</v>
      </c>
      <c r="AD69" s="2185"/>
      <c r="AE69" s="2185"/>
      <c r="AF69" s="2185"/>
      <c r="AG69" s="2185"/>
      <c r="AH69" s="2185"/>
      <c r="AI69" s="2185"/>
      <c r="AJ69" s="2185"/>
      <c r="AK69" s="2185"/>
      <c r="AL69" s="2185"/>
      <c r="AM69" s="2185"/>
      <c r="AN69" s="2185"/>
      <c r="AO69" s="2185"/>
      <c r="AP69" s="2185"/>
      <c r="AQ69" s="2185"/>
      <c r="AR69" s="2185"/>
      <c r="AS69" s="2185"/>
      <c r="AT69" s="2185"/>
      <c r="AU69" s="2185"/>
      <c r="AV69" s="2178" t="s">
        <v>670</v>
      </c>
      <c r="AW69" s="2084"/>
      <c r="AX69" s="2084"/>
      <c r="AY69" s="2084"/>
      <c r="AZ69" s="2084"/>
      <c r="BA69" s="2084"/>
      <c r="BB69" s="2084"/>
      <c r="BC69" s="2085"/>
      <c r="BD69" s="1190"/>
      <c r="BE69" s="1194"/>
      <c r="BM69" s="1200" t="s">
        <v>546</v>
      </c>
    </row>
    <row r="70" spans="1:94" ht="15.75" customHeight="1">
      <c r="A70" s="1190"/>
      <c r="B70" s="2161" t="s">
        <v>2393</v>
      </c>
      <c r="C70" s="2162"/>
      <c r="D70" s="2162"/>
      <c r="E70" s="2162"/>
      <c r="F70" s="2162"/>
      <c r="G70" s="2162"/>
      <c r="H70" s="2162"/>
      <c r="I70" s="2162"/>
      <c r="J70" s="2162"/>
      <c r="K70" s="2162"/>
      <c r="L70" s="2162"/>
      <c r="M70" s="2162"/>
      <c r="N70" s="2162"/>
      <c r="O70" s="2035">
        <v>0</v>
      </c>
      <c r="P70" s="2035"/>
      <c r="Q70" s="2035"/>
      <c r="R70" s="2035"/>
      <c r="S70" s="2035"/>
      <c r="T70" s="2035"/>
      <c r="U70" s="2035"/>
      <c r="V70" s="2035"/>
      <c r="W70" s="2035"/>
      <c r="X70" s="2035"/>
      <c r="Y70" s="2035"/>
      <c r="Z70" s="2035"/>
      <c r="AA70" s="2163"/>
      <c r="AB70" s="1190"/>
      <c r="AC70" s="2073" t="s">
        <v>2392</v>
      </c>
      <c r="AD70" s="2029"/>
      <c r="AE70" s="2029"/>
      <c r="AF70" s="2172"/>
      <c r="AG70" s="2172"/>
      <c r="AH70" s="2172"/>
      <c r="AI70" s="2172"/>
      <c r="AJ70" s="2172"/>
      <c r="AK70" s="2172"/>
      <c r="AL70" s="2172"/>
      <c r="AM70" s="2172"/>
      <c r="AN70" s="2172"/>
      <c r="AO70" s="2172"/>
      <c r="AP70" s="2172"/>
      <c r="AQ70" s="2172"/>
      <c r="AR70" s="2172"/>
      <c r="AS70" s="2172"/>
      <c r="AT70" s="2172"/>
      <c r="AU70" s="2173"/>
      <c r="AV70" s="1190"/>
      <c r="AW70" s="1190"/>
      <c r="AX70" s="1190"/>
      <c r="AY70" s="1190"/>
      <c r="AZ70" s="1190"/>
      <c r="BA70" s="1190"/>
      <c r="BB70" s="1190"/>
      <c r="BC70" s="1190"/>
      <c r="BD70" s="1190"/>
      <c r="BE70" s="1194"/>
      <c r="BM70" s="1201" t="s">
        <v>670</v>
      </c>
    </row>
    <row r="71" spans="1:94" ht="15.75" customHeight="1" thickBot="1">
      <c r="A71" s="1190"/>
      <c r="B71" s="2161" t="s">
        <v>2391</v>
      </c>
      <c r="C71" s="2162"/>
      <c r="D71" s="2162"/>
      <c r="E71" s="2162"/>
      <c r="F71" s="2162"/>
      <c r="G71" s="2162"/>
      <c r="H71" s="2162"/>
      <c r="I71" s="2162"/>
      <c r="J71" s="2162"/>
      <c r="K71" s="2162"/>
      <c r="L71" s="2162"/>
      <c r="M71" s="2162"/>
      <c r="N71" s="2162"/>
      <c r="O71" s="2035">
        <v>0</v>
      </c>
      <c r="P71" s="2035"/>
      <c r="Q71" s="2035"/>
      <c r="R71" s="2035"/>
      <c r="S71" s="2035"/>
      <c r="T71" s="2035"/>
      <c r="U71" s="2035"/>
      <c r="V71" s="2035"/>
      <c r="W71" s="2035"/>
      <c r="X71" s="2035"/>
      <c r="Y71" s="2035"/>
      <c r="Z71" s="2035"/>
      <c r="AA71" s="2163"/>
      <c r="AB71" s="1190"/>
      <c r="AC71" s="2174" t="s">
        <v>2390</v>
      </c>
      <c r="AD71" s="2175"/>
      <c r="AE71" s="2175"/>
      <c r="AF71" s="2176"/>
      <c r="AG71" s="2176"/>
      <c r="AH71" s="2176"/>
      <c r="AI71" s="2176"/>
      <c r="AJ71" s="2176"/>
      <c r="AK71" s="2176"/>
      <c r="AL71" s="2176"/>
      <c r="AM71" s="2176"/>
      <c r="AN71" s="2176"/>
      <c r="AO71" s="2176"/>
      <c r="AP71" s="2176"/>
      <c r="AQ71" s="2176"/>
      <c r="AR71" s="2176"/>
      <c r="AS71" s="2176"/>
      <c r="AT71" s="2176"/>
      <c r="AU71" s="2177"/>
      <c r="AV71" s="1190"/>
      <c r="AW71" s="1190"/>
      <c r="AX71" s="1190"/>
      <c r="AY71" s="1190"/>
      <c r="AZ71" s="1190"/>
      <c r="BA71" s="1190"/>
      <c r="BB71" s="1190"/>
      <c r="BC71" s="1190"/>
      <c r="BD71" s="1190"/>
      <c r="BE71" s="1194"/>
      <c r="BM71" s="1187" t="s">
        <v>2389</v>
      </c>
    </row>
    <row r="72" spans="1:94" ht="15.75" customHeight="1">
      <c r="A72" s="1190"/>
      <c r="B72" s="2161" t="s">
        <v>2388</v>
      </c>
      <c r="C72" s="2162"/>
      <c r="D72" s="2162"/>
      <c r="E72" s="2162"/>
      <c r="F72" s="2162"/>
      <c r="G72" s="2162"/>
      <c r="H72" s="2162"/>
      <c r="I72" s="2162"/>
      <c r="J72" s="2162"/>
      <c r="K72" s="2162"/>
      <c r="L72" s="2162"/>
      <c r="M72" s="2162"/>
      <c r="N72" s="2162"/>
      <c r="O72" s="2035">
        <v>0</v>
      </c>
      <c r="P72" s="2035"/>
      <c r="Q72" s="2035"/>
      <c r="R72" s="2035"/>
      <c r="S72" s="2035"/>
      <c r="T72" s="2035"/>
      <c r="U72" s="2035"/>
      <c r="V72" s="2035"/>
      <c r="W72" s="2035"/>
      <c r="X72" s="2035"/>
      <c r="Y72" s="2035"/>
      <c r="Z72" s="2035"/>
      <c r="AA72" s="2163"/>
      <c r="AB72" s="1190"/>
      <c r="AC72" s="2164" t="s">
        <v>2387</v>
      </c>
      <c r="AD72" s="2165"/>
      <c r="AE72" s="2165"/>
      <c r="AF72" s="2165"/>
      <c r="AG72" s="2165"/>
      <c r="AH72" s="2165"/>
      <c r="AI72" s="2165"/>
      <c r="AJ72" s="2165"/>
      <c r="AK72" s="2165"/>
      <c r="AL72" s="2165"/>
      <c r="AM72" s="2165"/>
      <c r="AN72" s="2165"/>
      <c r="AO72" s="2165"/>
      <c r="AP72" s="2165"/>
      <c r="AQ72" s="2165"/>
      <c r="AR72" s="2165"/>
      <c r="AS72" s="2165"/>
      <c r="AT72" s="2165"/>
      <c r="AU72" s="2165"/>
      <c r="AV72" s="2029"/>
      <c r="AW72" s="2029"/>
      <c r="AX72" s="2029"/>
      <c r="AY72" s="2029"/>
      <c r="AZ72" s="2029"/>
      <c r="BA72" s="2029"/>
      <c r="BB72" s="2029"/>
      <c r="BC72" s="2030"/>
      <c r="BD72" s="1190"/>
      <c r="BE72" s="1194"/>
    </row>
    <row r="73" spans="1:94" ht="15.75" customHeight="1">
      <c r="A73" s="1190"/>
      <c r="B73" s="2166" t="s">
        <v>2386</v>
      </c>
      <c r="C73" s="2167"/>
      <c r="D73" s="2167"/>
      <c r="E73" s="2167"/>
      <c r="F73" s="2167"/>
      <c r="G73" s="2167"/>
      <c r="H73" s="2167"/>
      <c r="I73" s="2167"/>
      <c r="J73" s="2167"/>
      <c r="K73" s="2167"/>
      <c r="L73" s="2167"/>
      <c r="M73" s="2167"/>
      <c r="N73" s="2167"/>
      <c r="O73" s="2035">
        <v>0</v>
      </c>
      <c r="P73" s="2035"/>
      <c r="Q73" s="2035"/>
      <c r="R73" s="2035"/>
      <c r="S73" s="2035"/>
      <c r="T73" s="2035"/>
      <c r="U73" s="2035"/>
      <c r="V73" s="2035"/>
      <c r="W73" s="2035"/>
      <c r="X73" s="2035"/>
      <c r="Y73" s="2035"/>
      <c r="Z73" s="2035"/>
      <c r="AA73" s="2163"/>
      <c r="AB73" s="1190"/>
      <c r="AC73" s="2044" t="s">
        <v>2331</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190"/>
      <c r="BE73" s="1194"/>
      <c r="CK73" s="1188"/>
      <c r="CL73" s="1188"/>
      <c r="CM73" s="1188"/>
      <c r="CN73" s="1188"/>
      <c r="CO73" s="1188"/>
      <c r="CP73" s="1188"/>
    </row>
    <row r="74" spans="1:94" ht="15.75" customHeight="1">
      <c r="A74" s="1190"/>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63"/>
      <c r="AB74" s="1190"/>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190"/>
      <c r="BE74" s="1194"/>
      <c r="CK74" s="1188"/>
      <c r="CL74" s="1188"/>
      <c r="CM74" s="1188"/>
      <c r="CN74" s="1188"/>
      <c r="CO74" s="1188"/>
      <c r="CP74" s="1188"/>
    </row>
    <row r="75" spans="1:94" ht="15.75" customHeight="1" thickBot="1">
      <c r="A75" s="1190"/>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0"/>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46"/>
      <c r="G79" s="2147"/>
      <c r="H79" s="2147"/>
      <c r="I79" s="2147"/>
      <c r="J79" s="2147"/>
      <c r="K79" s="2147"/>
      <c r="L79" s="2147"/>
      <c r="M79" s="2147"/>
      <c r="N79" s="2147"/>
      <c r="O79" s="2147"/>
      <c r="P79" s="2147"/>
      <c r="Q79" s="2147"/>
      <c r="R79" s="2147"/>
      <c r="S79" s="2147"/>
      <c r="T79" s="214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9" t="s">
        <v>2384</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5" t="s">
        <v>2383</v>
      </c>
      <c r="C81" s="2156"/>
      <c r="D81" s="2156"/>
      <c r="E81" s="2156"/>
      <c r="F81" s="2156"/>
      <c r="G81" s="2156"/>
      <c r="H81" s="2156"/>
      <c r="I81" s="2156"/>
      <c r="J81" s="2156"/>
      <c r="K81" s="2156"/>
      <c r="L81" s="2156"/>
      <c r="M81" s="2156"/>
      <c r="N81" s="2156"/>
      <c r="O81" s="2156"/>
      <c r="P81" s="2156"/>
      <c r="Q81" s="2156"/>
      <c r="R81" s="2137" t="s">
        <v>2189</v>
      </c>
      <c r="S81" s="2138"/>
      <c r="T81" s="213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8" t="s">
        <v>2382</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0"/>
      <c r="AJ83" s="2125" t="s">
        <v>2381</v>
      </c>
      <c r="AK83" s="2126"/>
      <c r="AL83" s="2126"/>
      <c r="AM83" s="2126"/>
      <c r="AN83" s="2126"/>
      <c r="AO83" s="2126"/>
      <c r="AP83" s="2126"/>
      <c r="AQ83" s="2126"/>
      <c r="AR83" s="2126"/>
      <c r="AS83" s="2126"/>
      <c r="AT83" s="2126"/>
      <c r="AU83" s="2126"/>
      <c r="AV83" s="2126"/>
      <c r="AW83" s="2126"/>
      <c r="AX83" s="2126"/>
      <c r="AY83" s="2142" t="s">
        <v>546</v>
      </c>
      <c r="AZ83" s="2142"/>
      <c r="BA83" s="2142"/>
      <c r="BB83" s="2143"/>
      <c r="BC83" s="1190"/>
      <c r="BD83" s="1190"/>
      <c r="BE83" s="1194"/>
      <c r="CK83" s="1188"/>
      <c r="CL83" s="1188"/>
      <c r="CM83" s="1188"/>
      <c r="CN83" s="1188"/>
      <c r="CO83" s="1188"/>
      <c r="CP83" s="1188"/>
    </row>
    <row r="84" spans="1:94" ht="15.75" customHeight="1">
      <c r="A84" s="1190"/>
      <c r="B84" s="2136"/>
      <c r="C84" s="2104"/>
      <c r="D84" s="2104"/>
      <c r="E84" s="2104"/>
      <c r="F84" s="2104"/>
      <c r="G84" s="2104"/>
      <c r="H84" s="2104"/>
      <c r="I84" s="2104" t="s">
        <v>2371</v>
      </c>
      <c r="J84" s="2104"/>
      <c r="K84" s="2104"/>
      <c r="L84" s="2104"/>
      <c r="M84" s="2104"/>
      <c r="N84" s="2104"/>
      <c r="O84" s="2104" t="s">
        <v>2347</v>
      </c>
      <c r="P84" s="2104"/>
      <c r="Q84" s="2104"/>
      <c r="R84" s="2104"/>
      <c r="S84" s="2104"/>
      <c r="T84" s="2104"/>
      <c r="U84" s="2104"/>
      <c r="V84" s="2140" t="s">
        <v>2346</v>
      </c>
      <c r="W84" s="2140"/>
      <c r="X84" s="2140"/>
      <c r="Y84" s="2140"/>
      <c r="Z84" s="2140"/>
      <c r="AA84" s="2140"/>
      <c r="AB84" s="2074" t="s">
        <v>2370</v>
      </c>
      <c r="AC84" s="2074"/>
      <c r="AD84" s="2074"/>
      <c r="AE84" s="2074"/>
      <c r="AF84" s="2074"/>
      <c r="AG84" s="2074"/>
      <c r="AH84" s="2141"/>
      <c r="AI84" s="1190"/>
      <c r="AJ84" s="2128"/>
      <c r="AK84" s="2129"/>
      <c r="AL84" s="2129"/>
      <c r="AM84" s="2129"/>
      <c r="AN84" s="2129"/>
      <c r="AO84" s="2129"/>
      <c r="AP84" s="2129"/>
      <c r="AQ84" s="2129"/>
      <c r="AR84" s="2129"/>
      <c r="AS84" s="2129"/>
      <c r="AT84" s="2129"/>
      <c r="AU84" s="2129"/>
      <c r="AV84" s="2129"/>
      <c r="AW84" s="2129"/>
      <c r="AX84" s="2129"/>
      <c r="AY84" s="2144"/>
      <c r="AZ84" s="2144"/>
      <c r="BA84" s="2144"/>
      <c r="BB84" s="2145"/>
      <c r="BC84" s="1190"/>
      <c r="BD84" s="1190"/>
      <c r="BE84" s="1194"/>
      <c r="CK84" s="1188"/>
      <c r="CL84" s="1188"/>
      <c r="CM84" s="1188"/>
      <c r="CN84" s="1188"/>
      <c r="CO84" s="1188"/>
      <c r="CP84" s="1188"/>
    </row>
    <row r="85" spans="1:94" ht="15.75" customHeight="1">
      <c r="A85" s="1190"/>
      <c r="B85" s="2136"/>
      <c r="C85" s="2104"/>
      <c r="D85" s="2104"/>
      <c r="E85" s="2104"/>
      <c r="F85" s="2104"/>
      <c r="G85" s="2104"/>
      <c r="H85" s="2104"/>
      <c r="I85" s="2104"/>
      <c r="J85" s="2104"/>
      <c r="K85" s="2104"/>
      <c r="L85" s="2104"/>
      <c r="M85" s="2104"/>
      <c r="N85" s="2104"/>
      <c r="O85" s="2104"/>
      <c r="P85" s="2104"/>
      <c r="Q85" s="2104"/>
      <c r="R85" s="2104"/>
      <c r="S85" s="2104"/>
      <c r="T85" s="2104"/>
      <c r="U85" s="2104"/>
      <c r="V85" s="2140"/>
      <c r="W85" s="2140"/>
      <c r="X85" s="2140"/>
      <c r="Y85" s="2140"/>
      <c r="Z85" s="2140"/>
      <c r="AA85" s="2140"/>
      <c r="AB85" s="2074"/>
      <c r="AC85" s="2074"/>
      <c r="AD85" s="2074"/>
      <c r="AE85" s="2074"/>
      <c r="AF85" s="2074"/>
      <c r="AG85" s="2074"/>
      <c r="AH85" s="2141"/>
      <c r="AI85" s="1190"/>
      <c r="AJ85" s="2128"/>
      <c r="AK85" s="2129"/>
      <c r="AL85" s="2129"/>
      <c r="AM85" s="2129"/>
      <c r="AN85" s="2129"/>
      <c r="AO85" s="2129"/>
      <c r="AP85" s="2129"/>
      <c r="AQ85" s="2129"/>
      <c r="AR85" s="2129"/>
      <c r="AS85" s="2129"/>
      <c r="AT85" s="2129"/>
      <c r="AU85" s="2129"/>
      <c r="AV85" s="2129"/>
      <c r="AW85" s="2129"/>
      <c r="AX85" s="2129"/>
      <c r="AY85" s="2144"/>
      <c r="AZ85" s="2144"/>
      <c r="BA85" s="2144"/>
      <c r="BB85" s="2145"/>
      <c r="BC85" s="1190"/>
      <c r="BD85" s="1190"/>
      <c r="BE85" s="1194"/>
      <c r="CK85" s="1188"/>
      <c r="CL85" s="1188"/>
      <c r="CM85" s="1188"/>
      <c r="CN85" s="1188"/>
      <c r="CO85" s="1188"/>
      <c r="CP85" s="1188"/>
    </row>
    <row r="86" spans="1:94" ht="15.75" customHeight="1">
      <c r="A86" s="1190"/>
      <c r="B86" s="2136" t="s">
        <v>2369</v>
      </c>
      <c r="C86" s="2104"/>
      <c r="D86" s="2104"/>
      <c r="E86" s="2104"/>
      <c r="F86" s="2104"/>
      <c r="G86" s="2104"/>
      <c r="H86" s="2104"/>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190"/>
      <c r="AJ86" s="2128"/>
      <c r="AK86" s="2129"/>
      <c r="AL86" s="2129"/>
      <c r="AM86" s="2129"/>
      <c r="AN86" s="2129"/>
      <c r="AO86" s="2129"/>
      <c r="AP86" s="2129"/>
      <c r="AQ86" s="2129"/>
      <c r="AR86" s="2129"/>
      <c r="AS86" s="2129"/>
      <c r="AT86" s="2129"/>
      <c r="AU86" s="2129"/>
      <c r="AV86" s="2129"/>
      <c r="AW86" s="2129"/>
      <c r="AX86" s="2129"/>
      <c r="AY86" s="2144"/>
      <c r="AZ86" s="2144"/>
      <c r="BA86" s="2144"/>
      <c r="BB86" s="2145"/>
      <c r="BC86" s="1190"/>
      <c r="BD86" s="1190"/>
      <c r="BE86" s="1194"/>
      <c r="CK86" s="1188"/>
      <c r="CL86" s="1188"/>
      <c r="CM86" s="1188"/>
      <c r="CN86" s="1188"/>
      <c r="CO86" s="1188"/>
      <c r="CP86" s="1188"/>
    </row>
    <row r="87" spans="1:94" ht="15.75" customHeight="1">
      <c r="A87" s="1190"/>
      <c r="B87" s="2136" t="s">
        <v>2368</v>
      </c>
      <c r="C87" s="2104"/>
      <c r="D87" s="2104"/>
      <c r="E87" s="2104"/>
      <c r="F87" s="2104"/>
      <c r="G87" s="2104"/>
      <c r="H87" s="2104"/>
      <c r="I87" s="2077">
        <v>0</v>
      </c>
      <c r="J87" s="2077"/>
      <c r="K87" s="2077"/>
      <c r="L87" s="2077"/>
      <c r="M87" s="2077"/>
      <c r="N87" s="2077"/>
      <c r="O87" s="2077">
        <v>0</v>
      </c>
      <c r="P87" s="2077"/>
      <c r="Q87" s="2077"/>
      <c r="R87" s="2077"/>
      <c r="S87" s="2077"/>
      <c r="T87" s="2077"/>
      <c r="U87" s="2077"/>
      <c r="V87" s="2077">
        <v>0</v>
      </c>
      <c r="W87" s="2077"/>
      <c r="X87" s="2077"/>
      <c r="Y87" s="2077"/>
      <c r="Z87" s="2077"/>
      <c r="AA87" s="2077"/>
      <c r="AB87" s="2077">
        <v>0</v>
      </c>
      <c r="AC87" s="2077"/>
      <c r="AD87" s="2077"/>
      <c r="AE87" s="2077"/>
      <c r="AF87" s="2077"/>
      <c r="AG87" s="2077"/>
      <c r="AH87" s="2078"/>
      <c r="AI87" s="1190"/>
      <c r="AJ87" s="2044" t="s">
        <v>2375</v>
      </c>
      <c r="AK87" s="2045"/>
      <c r="AL87" s="2045"/>
      <c r="AM87" s="2045"/>
      <c r="AN87" s="2045"/>
      <c r="AO87" s="2045"/>
      <c r="AP87" s="2045"/>
      <c r="AQ87" s="2045"/>
      <c r="AR87" s="2045"/>
      <c r="AS87" s="2045"/>
      <c r="AT87" s="2045"/>
      <c r="AU87" s="2045"/>
      <c r="AV87" s="2045"/>
      <c r="AW87" s="2045"/>
      <c r="AX87" s="2045"/>
      <c r="AY87" s="2045"/>
      <c r="AZ87" s="2045"/>
      <c r="BA87" s="2045"/>
      <c r="BB87" s="2046"/>
      <c r="BC87" s="1190"/>
      <c r="BD87" s="1190"/>
      <c r="BE87" s="1194"/>
      <c r="CK87" s="1188"/>
      <c r="CL87" s="1188"/>
      <c r="CM87" s="1188"/>
      <c r="CN87" s="1188"/>
      <c r="CO87" s="1188"/>
      <c r="CP87" s="1188"/>
    </row>
    <row r="88" spans="1:94" ht="15.75" customHeight="1" thickBot="1">
      <c r="A88" s="1190"/>
      <c r="B88" s="2134" t="s">
        <v>2367</v>
      </c>
      <c r="C88" s="2135"/>
      <c r="D88" s="2135"/>
      <c r="E88" s="2135"/>
      <c r="F88" s="2135"/>
      <c r="G88" s="2135"/>
      <c r="H88" s="2135"/>
      <c r="I88" s="2071">
        <v>0</v>
      </c>
      <c r="J88" s="2071"/>
      <c r="K88" s="2071"/>
      <c r="L88" s="2071"/>
      <c r="M88" s="2071"/>
      <c r="N88" s="2071"/>
      <c r="O88" s="2071">
        <v>0</v>
      </c>
      <c r="P88" s="2071"/>
      <c r="Q88" s="2071"/>
      <c r="R88" s="2071"/>
      <c r="S88" s="2071"/>
      <c r="T88" s="2071"/>
      <c r="U88" s="2071"/>
      <c r="V88" s="2071">
        <v>0</v>
      </c>
      <c r="W88" s="2071"/>
      <c r="X88" s="2071"/>
      <c r="Y88" s="2071"/>
      <c r="Z88" s="2071"/>
      <c r="AA88" s="2071"/>
      <c r="AB88" s="2071">
        <v>0</v>
      </c>
      <c r="AC88" s="2071"/>
      <c r="AD88" s="2071"/>
      <c r="AE88" s="2071"/>
      <c r="AF88" s="2071"/>
      <c r="AG88" s="2071"/>
      <c r="AH88" s="2072"/>
      <c r="AI88" s="1190"/>
      <c r="AJ88" s="2047"/>
      <c r="AK88" s="2048"/>
      <c r="AL88" s="2048"/>
      <c r="AM88" s="2048"/>
      <c r="AN88" s="2048"/>
      <c r="AO88" s="2048"/>
      <c r="AP88" s="2048"/>
      <c r="AQ88" s="2048"/>
      <c r="AR88" s="2048"/>
      <c r="AS88" s="2048"/>
      <c r="AT88" s="2048"/>
      <c r="AU88" s="2048"/>
      <c r="AV88" s="2048"/>
      <c r="AW88" s="2048"/>
      <c r="AX88" s="2048"/>
      <c r="AY88" s="2048"/>
      <c r="AZ88" s="2048"/>
      <c r="BA88" s="2048"/>
      <c r="BB88" s="204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46"/>
      <c r="G92" s="2147"/>
      <c r="H92" s="2147"/>
      <c r="I92" s="2147"/>
      <c r="J92" s="2147"/>
      <c r="K92" s="2147"/>
      <c r="L92" s="2147"/>
      <c r="M92" s="2147"/>
      <c r="N92" s="2147"/>
      <c r="O92" s="2147"/>
      <c r="P92" s="2147"/>
      <c r="Q92" s="2147"/>
      <c r="R92" s="2147"/>
      <c r="S92" s="2147"/>
      <c r="T92" s="214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9" t="s">
        <v>2379</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5" t="s">
        <v>2378</v>
      </c>
      <c r="C94" s="2156"/>
      <c r="D94" s="2156"/>
      <c r="E94" s="2156"/>
      <c r="F94" s="2156"/>
      <c r="G94" s="2156"/>
      <c r="H94" s="2156"/>
      <c r="I94" s="2156"/>
      <c r="J94" s="2156"/>
      <c r="K94" s="2156"/>
      <c r="L94" s="2156"/>
      <c r="M94" s="2156"/>
      <c r="N94" s="2156"/>
      <c r="O94" s="2156"/>
      <c r="P94" s="2156"/>
      <c r="Q94" s="2157"/>
      <c r="R94" s="2137" t="s">
        <v>2189</v>
      </c>
      <c r="S94" s="2138"/>
      <c r="T94" s="213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8" t="s">
        <v>2377</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0"/>
      <c r="AJ96" s="2125" t="s">
        <v>2376</v>
      </c>
      <c r="AK96" s="2126"/>
      <c r="AL96" s="2126"/>
      <c r="AM96" s="2126"/>
      <c r="AN96" s="2126"/>
      <c r="AO96" s="2126"/>
      <c r="AP96" s="2126"/>
      <c r="AQ96" s="2126"/>
      <c r="AR96" s="2126"/>
      <c r="AS96" s="2126"/>
      <c r="AT96" s="2126"/>
      <c r="AU96" s="2126"/>
      <c r="AV96" s="2126"/>
      <c r="AW96" s="2126"/>
      <c r="AX96" s="2126"/>
      <c r="AY96" s="2142" t="s">
        <v>546</v>
      </c>
      <c r="AZ96" s="2142"/>
      <c r="BA96" s="2142"/>
      <c r="BB96" s="2143"/>
      <c r="BC96" s="1190"/>
      <c r="BD96" s="1190"/>
      <c r="BE96" s="1194"/>
      <c r="BQ96" s="1256" t="str">
        <f>Application!M243&amp;IF(TRIM(Application!AA249)&lt;&gt;""," ("&amp;Application!AA249&amp;")","")</f>
        <v>Corporation for Better Housing</v>
      </c>
      <c r="BR96" s="1259">
        <f>Application!AH246</f>
        <v>0.1</v>
      </c>
      <c r="CM96" s="1188"/>
      <c r="CN96" s="1188"/>
      <c r="CO96" s="1188"/>
      <c r="CP96" s="1188"/>
    </row>
    <row r="97" spans="1:94" ht="15.75" customHeight="1">
      <c r="A97" s="1190"/>
      <c r="B97" s="2136"/>
      <c r="C97" s="2104"/>
      <c r="D97" s="2104"/>
      <c r="E97" s="2104"/>
      <c r="F97" s="2104"/>
      <c r="G97" s="2104"/>
      <c r="H97" s="2104"/>
      <c r="I97" s="2104" t="s">
        <v>2371</v>
      </c>
      <c r="J97" s="2104"/>
      <c r="K97" s="2104"/>
      <c r="L97" s="2104"/>
      <c r="M97" s="2104"/>
      <c r="N97" s="2104"/>
      <c r="O97" s="2104" t="s">
        <v>2347</v>
      </c>
      <c r="P97" s="2104"/>
      <c r="Q97" s="2104"/>
      <c r="R97" s="2104"/>
      <c r="S97" s="2104"/>
      <c r="T97" s="2104"/>
      <c r="U97" s="2104"/>
      <c r="V97" s="2140" t="s">
        <v>2346</v>
      </c>
      <c r="W97" s="2140"/>
      <c r="X97" s="2140"/>
      <c r="Y97" s="2140"/>
      <c r="Z97" s="2140"/>
      <c r="AA97" s="2140"/>
      <c r="AB97" s="2074" t="s">
        <v>2370</v>
      </c>
      <c r="AC97" s="2074"/>
      <c r="AD97" s="2074"/>
      <c r="AE97" s="2074"/>
      <c r="AF97" s="2074"/>
      <c r="AG97" s="2074"/>
      <c r="AH97" s="2141"/>
      <c r="AI97" s="1190"/>
      <c r="AJ97" s="2128"/>
      <c r="AK97" s="2129"/>
      <c r="AL97" s="2129"/>
      <c r="AM97" s="2129"/>
      <c r="AN97" s="2129"/>
      <c r="AO97" s="2129"/>
      <c r="AP97" s="2129"/>
      <c r="AQ97" s="2129"/>
      <c r="AR97" s="2129"/>
      <c r="AS97" s="2129"/>
      <c r="AT97" s="2129"/>
      <c r="AU97" s="2129"/>
      <c r="AV97" s="2129"/>
      <c r="AW97" s="2129"/>
      <c r="AX97" s="2129"/>
      <c r="AY97" s="2144"/>
      <c r="AZ97" s="2144"/>
      <c r="BA97" s="2144"/>
      <c r="BB97" s="2145"/>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6"/>
      <c r="C98" s="2104"/>
      <c r="D98" s="2104"/>
      <c r="E98" s="2104"/>
      <c r="F98" s="2104"/>
      <c r="G98" s="2104"/>
      <c r="H98" s="2104"/>
      <c r="I98" s="2104"/>
      <c r="J98" s="2104"/>
      <c r="K98" s="2104"/>
      <c r="L98" s="2104"/>
      <c r="M98" s="2104"/>
      <c r="N98" s="2104"/>
      <c r="O98" s="2104"/>
      <c r="P98" s="2104"/>
      <c r="Q98" s="2104"/>
      <c r="R98" s="2104"/>
      <c r="S98" s="2104"/>
      <c r="T98" s="2104"/>
      <c r="U98" s="2104"/>
      <c r="V98" s="2140"/>
      <c r="W98" s="2140"/>
      <c r="X98" s="2140"/>
      <c r="Y98" s="2140"/>
      <c r="Z98" s="2140"/>
      <c r="AA98" s="2140"/>
      <c r="AB98" s="2074"/>
      <c r="AC98" s="2074"/>
      <c r="AD98" s="2074"/>
      <c r="AE98" s="2074"/>
      <c r="AF98" s="2074"/>
      <c r="AG98" s="2074"/>
      <c r="AH98" s="2141"/>
      <c r="AI98" s="1190"/>
      <c r="AJ98" s="2128"/>
      <c r="AK98" s="2129"/>
      <c r="AL98" s="2129"/>
      <c r="AM98" s="2129"/>
      <c r="AN98" s="2129"/>
      <c r="AO98" s="2129"/>
      <c r="AP98" s="2129"/>
      <c r="AQ98" s="2129"/>
      <c r="AR98" s="2129"/>
      <c r="AS98" s="2129"/>
      <c r="AT98" s="2129"/>
      <c r="AU98" s="2129"/>
      <c r="AV98" s="2129"/>
      <c r="AW98" s="2129"/>
      <c r="AX98" s="2129"/>
      <c r="AY98" s="2144"/>
      <c r="AZ98" s="2144"/>
      <c r="BA98" s="2144"/>
      <c r="BB98" s="214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6" t="s">
        <v>2369</v>
      </c>
      <c r="C99" s="2104"/>
      <c r="D99" s="2104"/>
      <c r="E99" s="2104"/>
      <c r="F99" s="2104"/>
      <c r="G99" s="2104"/>
      <c r="H99" s="2104"/>
      <c r="I99" s="2077">
        <v>0</v>
      </c>
      <c r="J99" s="2077"/>
      <c r="K99" s="2077"/>
      <c r="L99" s="2077"/>
      <c r="M99" s="2077"/>
      <c r="N99" s="2077"/>
      <c r="O99" s="2077">
        <v>0</v>
      </c>
      <c r="P99" s="2077"/>
      <c r="Q99" s="2077"/>
      <c r="R99" s="2077"/>
      <c r="S99" s="2077"/>
      <c r="T99" s="2077"/>
      <c r="U99" s="2077"/>
      <c r="V99" s="2077">
        <v>0</v>
      </c>
      <c r="W99" s="2077"/>
      <c r="X99" s="2077"/>
      <c r="Y99" s="2077"/>
      <c r="Z99" s="2077"/>
      <c r="AA99" s="2077"/>
      <c r="AB99" s="2077">
        <v>0</v>
      </c>
      <c r="AC99" s="2077"/>
      <c r="AD99" s="2077"/>
      <c r="AE99" s="2077"/>
      <c r="AF99" s="2077"/>
      <c r="AG99" s="2077"/>
      <c r="AH99" s="2078"/>
      <c r="AI99" s="1190"/>
      <c r="AJ99" s="2128"/>
      <c r="AK99" s="2129"/>
      <c r="AL99" s="2129"/>
      <c r="AM99" s="2129"/>
      <c r="AN99" s="2129"/>
      <c r="AO99" s="2129"/>
      <c r="AP99" s="2129"/>
      <c r="AQ99" s="2129"/>
      <c r="AR99" s="2129"/>
      <c r="AS99" s="2129"/>
      <c r="AT99" s="2129"/>
      <c r="AU99" s="2129"/>
      <c r="AV99" s="2129"/>
      <c r="AW99" s="2129"/>
      <c r="AX99" s="2129"/>
      <c r="AY99" s="2144"/>
      <c r="AZ99" s="2144"/>
      <c r="BA99" s="2144"/>
      <c r="BB99" s="2145"/>
      <c r="BC99" s="1190"/>
      <c r="BD99" s="1190"/>
      <c r="BE99" s="1194"/>
      <c r="CM99" s="1188"/>
      <c r="CN99" s="1188"/>
      <c r="CO99" s="1188"/>
      <c r="CP99" s="1188"/>
    </row>
    <row r="100" spans="1:94" ht="15.75" customHeight="1">
      <c r="A100" s="1190"/>
      <c r="B100" s="2136" t="s">
        <v>2368</v>
      </c>
      <c r="C100" s="2104"/>
      <c r="D100" s="2104"/>
      <c r="E100" s="2104"/>
      <c r="F100" s="2104"/>
      <c r="G100" s="2104"/>
      <c r="H100" s="2104"/>
      <c r="I100" s="2077">
        <v>0</v>
      </c>
      <c r="J100" s="2077"/>
      <c r="K100" s="2077"/>
      <c r="L100" s="2077"/>
      <c r="M100" s="2077"/>
      <c r="N100" s="2077"/>
      <c r="O100" s="2077">
        <v>0</v>
      </c>
      <c r="P100" s="2077"/>
      <c r="Q100" s="2077"/>
      <c r="R100" s="2077"/>
      <c r="S100" s="2077"/>
      <c r="T100" s="2077"/>
      <c r="U100" s="2077"/>
      <c r="V100" s="2077">
        <v>0</v>
      </c>
      <c r="W100" s="2077"/>
      <c r="X100" s="2077"/>
      <c r="Y100" s="2077"/>
      <c r="Z100" s="2077"/>
      <c r="AA100" s="2077"/>
      <c r="AB100" s="2077">
        <v>0</v>
      </c>
      <c r="AC100" s="2077"/>
      <c r="AD100" s="2077"/>
      <c r="AE100" s="2077"/>
      <c r="AF100" s="2077"/>
      <c r="AG100" s="2077"/>
      <c r="AH100" s="2078"/>
      <c r="AI100" s="1190"/>
      <c r="AJ100" s="2044" t="s">
        <v>2375</v>
      </c>
      <c r="AK100" s="2045"/>
      <c r="AL100" s="2045"/>
      <c r="AM100" s="2045"/>
      <c r="AN100" s="2045"/>
      <c r="AO100" s="2045"/>
      <c r="AP100" s="2045"/>
      <c r="AQ100" s="2045"/>
      <c r="AR100" s="2045"/>
      <c r="AS100" s="2045"/>
      <c r="AT100" s="2045"/>
      <c r="AU100" s="2045"/>
      <c r="AV100" s="2045"/>
      <c r="AW100" s="2045"/>
      <c r="AX100" s="2045"/>
      <c r="AY100" s="2045"/>
      <c r="AZ100" s="2045"/>
      <c r="BA100" s="2045"/>
      <c r="BB100" s="2046"/>
      <c r="BC100" s="1190"/>
      <c r="BD100" s="1190"/>
      <c r="BE100" s="1194"/>
      <c r="CM100" s="1188"/>
      <c r="CN100" s="1188"/>
      <c r="CO100" s="1188"/>
      <c r="CP100" s="1188"/>
    </row>
    <row r="101" spans="1:94" ht="15.75" customHeight="1" thickBot="1">
      <c r="A101" s="1190"/>
      <c r="B101" s="2134" t="s">
        <v>2367</v>
      </c>
      <c r="C101" s="2135"/>
      <c r="D101" s="2135"/>
      <c r="E101" s="2135"/>
      <c r="F101" s="2135"/>
      <c r="G101" s="2135"/>
      <c r="H101" s="2135"/>
      <c r="I101" s="2071">
        <v>0</v>
      </c>
      <c r="J101" s="2071"/>
      <c r="K101" s="2071"/>
      <c r="L101" s="2071"/>
      <c r="M101" s="2071"/>
      <c r="N101" s="2071"/>
      <c r="O101" s="2071">
        <v>0</v>
      </c>
      <c r="P101" s="2071"/>
      <c r="Q101" s="2071"/>
      <c r="R101" s="2071"/>
      <c r="S101" s="2071"/>
      <c r="T101" s="2071"/>
      <c r="U101" s="2071"/>
      <c r="V101" s="2071">
        <v>0</v>
      </c>
      <c r="W101" s="2071"/>
      <c r="X101" s="2071"/>
      <c r="Y101" s="2071"/>
      <c r="Z101" s="2071"/>
      <c r="AA101" s="2071"/>
      <c r="AB101" s="2071">
        <v>0</v>
      </c>
      <c r="AC101" s="2071"/>
      <c r="AD101" s="2071"/>
      <c r="AE101" s="2071"/>
      <c r="AF101" s="2071"/>
      <c r="AG101" s="2071"/>
      <c r="AH101" s="2072"/>
      <c r="AI101" s="1190"/>
      <c r="AJ101" s="2047"/>
      <c r="AK101" s="2048"/>
      <c r="AL101" s="2048"/>
      <c r="AM101" s="2048"/>
      <c r="AN101" s="2048"/>
      <c r="AO101" s="2048"/>
      <c r="AP101" s="2048"/>
      <c r="AQ101" s="2048"/>
      <c r="AR101" s="2048"/>
      <c r="AS101" s="2048"/>
      <c r="AT101" s="2048"/>
      <c r="AU101" s="2048"/>
      <c r="AV101" s="2048"/>
      <c r="AW101" s="2048"/>
      <c r="AX101" s="2048"/>
      <c r="AY101" s="2048"/>
      <c r="AZ101" s="2048"/>
      <c r="BA101" s="2048"/>
      <c r="BB101" s="2049"/>
      <c r="BC101" s="1190"/>
      <c r="BD101" s="1190"/>
      <c r="BE101" s="1194"/>
      <c r="BQ101" s="1256" t="str">
        <f>Application!AA335</f>
        <v>WinnResidential California LP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7" t="str">
        <f>IFERROR(INDEX(BR96:BR98,MATCH(F104,$BQ$96:$BQ$98,0))/SUM($BR$96:$BR$98),"")</f>
        <v/>
      </c>
      <c r="P105" s="2138"/>
      <c r="Q105" s="2138"/>
      <c r="R105" s="213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7" t="s">
        <v>2372</v>
      </c>
      <c r="C107" s="2028"/>
      <c r="D107" s="2028"/>
      <c r="E107" s="2028"/>
      <c r="F107" s="2028"/>
      <c r="G107" s="2028"/>
      <c r="H107" s="2028"/>
      <c r="I107" s="2028"/>
      <c r="J107" s="2028"/>
      <c r="K107" s="2028"/>
      <c r="L107" s="2028"/>
      <c r="M107" s="2028"/>
      <c r="N107" s="2028"/>
      <c r="O107" s="2028"/>
      <c r="P107" s="2028"/>
      <c r="Q107" s="2028"/>
      <c r="R107" s="2028"/>
      <c r="S107" s="2028"/>
      <c r="T107" s="2028"/>
      <c r="U107" s="2028"/>
      <c r="V107" s="2028"/>
      <c r="W107" s="2028"/>
      <c r="X107" s="2028"/>
      <c r="Y107" s="2028"/>
      <c r="Z107" s="2028"/>
      <c r="AA107" s="2028"/>
      <c r="AB107" s="2028"/>
      <c r="AC107" s="2028"/>
      <c r="AD107" s="2028"/>
      <c r="AE107" s="2028"/>
      <c r="AF107" s="2028"/>
      <c r="AG107" s="2028"/>
      <c r="AH107" s="203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6"/>
      <c r="C108" s="2104"/>
      <c r="D108" s="2104"/>
      <c r="E108" s="2104"/>
      <c r="F108" s="2104"/>
      <c r="G108" s="2104"/>
      <c r="H108" s="2104"/>
      <c r="I108" s="2104" t="s">
        <v>2371</v>
      </c>
      <c r="J108" s="2104"/>
      <c r="K108" s="2104"/>
      <c r="L108" s="2104"/>
      <c r="M108" s="2104"/>
      <c r="N108" s="2104"/>
      <c r="O108" s="2104" t="s">
        <v>2347</v>
      </c>
      <c r="P108" s="2104"/>
      <c r="Q108" s="2104"/>
      <c r="R108" s="2104"/>
      <c r="S108" s="2104"/>
      <c r="T108" s="2104"/>
      <c r="U108" s="2104"/>
      <c r="V108" s="2140" t="s">
        <v>2346</v>
      </c>
      <c r="W108" s="2140"/>
      <c r="X108" s="2140"/>
      <c r="Y108" s="2140"/>
      <c r="Z108" s="2140"/>
      <c r="AA108" s="2140"/>
      <c r="AB108" s="2074" t="s">
        <v>2370</v>
      </c>
      <c r="AC108" s="2074"/>
      <c r="AD108" s="2074"/>
      <c r="AE108" s="2074"/>
      <c r="AF108" s="2074"/>
      <c r="AG108" s="2074"/>
      <c r="AH108" s="214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6"/>
      <c r="C109" s="2104"/>
      <c r="D109" s="2104"/>
      <c r="E109" s="2104"/>
      <c r="F109" s="2104"/>
      <c r="G109" s="2104"/>
      <c r="H109" s="2104"/>
      <c r="I109" s="2104"/>
      <c r="J109" s="2104"/>
      <c r="K109" s="2104"/>
      <c r="L109" s="2104"/>
      <c r="M109" s="2104"/>
      <c r="N109" s="2104"/>
      <c r="O109" s="2104"/>
      <c r="P109" s="2104"/>
      <c r="Q109" s="2104"/>
      <c r="R109" s="2104"/>
      <c r="S109" s="2104"/>
      <c r="T109" s="2104"/>
      <c r="U109" s="2104"/>
      <c r="V109" s="2140"/>
      <c r="W109" s="2140"/>
      <c r="X109" s="2140"/>
      <c r="Y109" s="2140"/>
      <c r="Z109" s="2140"/>
      <c r="AA109" s="2140"/>
      <c r="AB109" s="2074"/>
      <c r="AC109" s="2074"/>
      <c r="AD109" s="2074"/>
      <c r="AE109" s="2074"/>
      <c r="AF109" s="2074"/>
      <c r="AG109" s="2074"/>
      <c r="AH109" s="214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6" t="s">
        <v>2369</v>
      </c>
      <c r="C110" s="2104"/>
      <c r="D110" s="2104"/>
      <c r="E110" s="2104"/>
      <c r="F110" s="2104"/>
      <c r="G110" s="2104"/>
      <c r="H110" s="2104"/>
      <c r="I110" s="2077">
        <v>0</v>
      </c>
      <c r="J110" s="2077"/>
      <c r="K110" s="2077"/>
      <c r="L110" s="2077"/>
      <c r="M110" s="2077"/>
      <c r="N110" s="2077"/>
      <c r="O110" s="2077">
        <v>0</v>
      </c>
      <c r="P110" s="2077"/>
      <c r="Q110" s="2077"/>
      <c r="R110" s="2077"/>
      <c r="S110" s="2077"/>
      <c r="T110" s="2077"/>
      <c r="U110" s="2077"/>
      <c r="V110" s="2077">
        <v>0</v>
      </c>
      <c r="W110" s="2077"/>
      <c r="X110" s="2077"/>
      <c r="Y110" s="2077"/>
      <c r="Z110" s="2077"/>
      <c r="AA110" s="2077"/>
      <c r="AB110" s="2077">
        <v>0</v>
      </c>
      <c r="AC110" s="2077"/>
      <c r="AD110" s="2077"/>
      <c r="AE110" s="2077"/>
      <c r="AF110" s="2077"/>
      <c r="AG110" s="2077"/>
      <c r="AH110" s="207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6" t="s">
        <v>2368</v>
      </c>
      <c r="C111" s="2104"/>
      <c r="D111" s="2104"/>
      <c r="E111" s="2104"/>
      <c r="F111" s="2104"/>
      <c r="G111" s="2104"/>
      <c r="H111" s="2104"/>
      <c r="I111" s="2077">
        <v>0</v>
      </c>
      <c r="J111" s="2077"/>
      <c r="K111" s="2077"/>
      <c r="L111" s="2077"/>
      <c r="M111" s="2077"/>
      <c r="N111" s="2077"/>
      <c r="O111" s="2077">
        <v>0</v>
      </c>
      <c r="P111" s="2077"/>
      <c r="Q111" s="2077"/>
      <c r="R111" s="2077"/>
      <c r="S111" s="2077"/>
      <c r="T111" s="2077"/>
      <c r="U111" s="2077"/>
      <c r="V111" s="2077">
        <v>0</v>
      </c>
      <c r="W111" s="2077"/>
      <c r="X111" s="2077"/>
      <c r="Y111" s="2077"/>
      <c r="Z111" s="2077"/>
      <c r="AA111" s="2077"/>
      <c r="AB111" s="2077">
        <v>0</v>
      </c>
      <c r="AC111" s="2077"/>
      <c r="AD111" s="2077"/>
      <c r="AE111" s="2077"/>
      <c r="AF111" s="2077"/>
      <c r="AG111" s="2077"/>
      <c r="AH111" s="207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4" t="s">
        <v>2367</v>
      </c>
      <c r="C112" s="2135"/>
      <c r="D112" s="2135"/>
      <c r="E112" s="2135"/>
      <c r="F112" s="2135"/>
      <c r="G112" s="2135"/>
      <c r="H112" s="2135"/>
      <c r="I112" s="2071">
        <v>0</v>
      </c>
      <c r="J112" s="2071"/>
      <c r="K112" s="2071"/>
      <c r="L112" s="2071"/>
      <c r="M112" s="2071"/>
      <c r="N112" s="2071"/>
      <c r="O112" s="2071">
        <v>0</v>
      </c>
      <c r="P112" s="2071"/>
      <c r="Q112" s="2071"/>
      <c r="R112" s="2071"/>
      <c r="S112" s="2071"/>
      <c r="T112" s="2071"/>
      <c r="U112" s="2071"/>
      <c r="V112" s="2071">
        <v>0</v>
      </c>
      <c r="W112" s="2071"/>
      <c r="X112" s="2071"/>
      <c r="Y112" s="2071"/>
      <c r="Z112" s="2071"/>
      <c r="AA112" s="2071"/>
      <c r="AB112" s="2071">
        <v>0</v>
      </c>
      <c r="AC112" s="2071"/>
      <c r="AD112" s="2071"/>
      <c r="AE112" s="2071"/>
      <c r="AF112" s="2071"/>
      <c r="AG112" s="2071"/>
      <c r="AH112" s="207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9" t="s">
        <v>2365</v>
      </c>
      <c r="C117" s="2110"/>
      <c r="D117" s="2110"/>
      <c r="E117" s="2110"/>
      <c r="F117" s="2110"/>
      <c r="G117" s="2110"/>
      <c r="H117" s="2110"/>
      <c r="I117" s="2110"/>
      <c r="J117" s="2110"/>
      <c r="K117" s="2110"/>
      <c r="L117" s="2110"/>
      <c r="M117" s="2110"/>
      <c r="N117" s="2110"/>
      <c r="O117" s="2110"/>
      <c r="P117" s="2110"/>
      <c r="Q117" s="2110"/>
      <c r="R117" s="2110"/>
      <c r="S117" s="2110"/>
      <c r="T117" s="2110"/>
      <c r="U117" s="2113" t="s">
        <v>546</v>
      </c>
      <c r="V117" s="2113"/>
      <c r="W117" s="2113"/>
      <c r="X117" s="211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1"/>
      <c r="C118" s="2112"/>
      <c r="D118" s="2112"/>
      <c r="E118" s="2112"/>
      <c r="F118" s="2112"/>
      <c r="G118" s="2112"/>
      <c r="H118" s="2112"/>
      <c r="I118" s="2112"/>
      <c r="J118" s="2112"/>
      <c r="K118" s="2112"/>
      <c r="L118" s="2112"/>
      <c r="M118" s="2112"/>
      <c r="N118" s="2112"/>
      <c r="O118" s="2112"/>
      <c r="P118" s="2112"/>
      <c r="Q118" s="2112"/>
      <c r="R118" s="2112"/>
      <c r="S118" s="2112"/>
      <c r="T118" s="2112"/>
      <c r="U118" s="2115"/>
      <c r="V118" s="2115"/>
      <c r="W118" s="2115"/>
      <c r="X118" s="211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1"/>
      <c r="C119" s="2112"/>
      <c r="D119" s="2112"/>
      <c r="E119" s="2112"/>
      <c r="F119" s="2112"/>
      <c r="G119" s="2112"/>
      <c r="H119" s="2112"/>
      <c r="I119" s="2112"/>
      <c r="J119" s="2112"/>
      <c r="K119" s="2112"/>
      <c r="L119" s="2112"/>
      <c r="M119" s="2112"/>
      <c r="N119" s="2112"/>
      <c r="O119" s="2112"/>
      <c r="P119" s="2112"/>
      <c r="Q119" s="2112"/>
      <c r="R119" s="2112"/>
      <c r="S119" s="2112"/>
      <c r="T119" s="2112"/>
      <c r="U119" s="2115"/>
      <c r="V119" s="2115"/>
      <c r="W119" s="2115"/>
      <c r="X119" s="211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1"/>
      <c r="C120" s="2112"/>
      <c r="D120" s="2112"/>
      <c r="E120" s="2112"/>
      <c r="F120" s="2112"/>
      <c r="G120" s="2112"/>
      <c r="H120" s="2112"/>
      <c r="I120" s="2112"/>
      <c r="J120" s="2112"/>
      <c r="K120" s="2112"/>
      <c r="L120" s="2112"/>
      <c r="M120" s="2112"/>
      <c r="N120" s="2112"/>
      <c r="O120" s="2112"/>
      <c r="P120" s="2112"/>
      <c r="Q120" s="2112"/>
      <c r="R120" s="2112"/>
      <c r="S120" s="2112"/>
      <c r="T120" s="2112"/>
      <c r="U120" s="2115"/>
      <c r="V120" s="2115"/>
      <c r="W120" s="2115"/>
      <c r="X120" s="211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7" t="s">
        <v>2365</v>
      </c>
      <c r="C121" s="2118"/>
      <c r="D121" s="2118"/>
      <c r="E121" s="2118"/>
      <c r="F121" s="2118"/>
      <c r="G121" s="2118"/>
      <c r="H121" s="2118"/>
      <c r="I121" s="2118"/>
      <c r="J121" s="2118"/>
      <c r="K121" s="2118"/>
      <c r="L121" s="2118"/>
      <c r="M121" s="2118"/>
      <c r="N121" s="2118"/>
      <c r="O121" s="2118"/>
      <c r="P121" s="2118"/>
      <c r="Q121" s="2118"/>
      <c r="R121" s="2118"/>
      <c r="S121" s="2118"/>
      <c r="T121" s="2118"/>
      <c r="U121" s="2121" t="s">
        <v>546</v>
      </c>
      <c r="V121" s="2121"/>
      <c r="W121" s="2121"/>
      <c r="X121" s="212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9"/>
      <c r="C122" s="2120"/>
      <c r="D122" s="2120"/>
      <c r="E122" s="2120"/>
      <c r="F122" s="2120"/>
      <c r="G122" s="2120"/>
      <c r="H122" s="2120"/>
      <c r="I122" s="2120"/>
      <c r="J122" s="2120"/>
      <c r="K122" s="2120"/>
      <c r="L122" s="2120"/>
      <c r="M122" s="2120"/>
      <c r="N122" s="2120"/>
      <c r="O122" s="2120"/>
      <c r="P122" s="2120"/>
      <c r="Q122" s="2120"/>
      <c r="R122" s="2120"/>
      <c r="S122" s="2120"/>
      <c r="T122" s="2120"/>
      <c r="U122" s="2123"/>
      <c r="V122" s="2123"/>
      <c r="W122" s="2123"/>
      <c r="X122" s="212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5" t="s">
        <v>2363</v>
      </c>
      <c r="Y125" s="2126"/>
      <c r="Z125" s="2126"/>
      <c r="AA125" s="2126"/>
      <c r="AB125" s="2126"/>
      <c r="AC125" s="2126"/>
      <c r="AD125" s="2126"/>
      <c r="AE125" s="2126"/>
      <c r="AF125" s="2126"/>
      <c r="AG125" s="2126"/>
      <c r="AH125" s="2126"/>
      <c r="AI125" s="2126"/>
      <c r="AJ125" s="2126"/>
      <c r="AK125" s="2126"/>
      <c r="AL125" s="2126"/>
      <c r="AM125" s="2126"/>
      <c r="AN125" s="2126"/>
      <c r="AO125" s="2126"/>
      <c r="AP125" s="2126"/>
      <c r="AQ125" s="2126"/>
      <c r="AR125" s="2126"/>
      <c r="AS125" s="2126"/>
      <c r="AT125" s="2126"/>
      <c r="AU125" s="2126"/>
      <c r="AV125" s="2126"/>
      <c r="AW125" s="2126"/>
      <c r="AX125" s="2126"/>
      <c r="AY125" s="2126"/>
      <c r="AZ125" s="2126"/>
      <c r="BA125" s="2126"/>
      <c r="BB125" s="2126"/>
      <c r="BC125" s="2126"/>
      <c r="BD125" s="2127"/>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128"/>
      <c r="Y126" s="2129"/>
      <c r="Z126" s="2129"/>
      <c r="AA126" s="2129"/>
      <c r="AB126" s="2129"/>
      <c r="AC126" s="2129"/>
      <c r="AD126" s="2129"/>
      <c r="AE126" s="2129"/>
      <c r="AF126" s="2129"/>
      <c r="AG126" s="2129"/>
      <c r="AH126" s="2129"/>
      <c r="AI126" s="2129"/>
      <c r="AJ126" s="2129"/>
      <c r="AK126" s="2129"/>
      <c r="AL126" s="2129"/>
      <c r="AM126" s="2129"/>
      <c r="AN126" s="2129"/>
      <c r="AO126" s="2129"/>
      <c r="AP126" s="2129"/>
      <c r="AQ126" s="2129"/>
      <c r="AR126" s="2129"/>
      <c r="AS126" s="2129"/>
      <c r="AT126" s="2129"/>
      <c r="AU126" s="2129"/>
      <c r="AV126" s="2129"/>
      <c r="AW126" s="2129"/>
      <c r="AX126" s="2129"/>
      <c r="AY126" s="2129"/>
      <c r="AZ126" s="2129"/>
      <c r="BA126" s="2129"/>
      <c r="BB126" s="2129"/>
      <c r="BC126" s="2129"/>
      <c r="BD126" s="2130"/>
      <c r="BE126" s="1194"/>
    </row>
    <row r="127" spans="1:57" ht="15.75" customHeight="1">
      <c r="A127" s="1190"/>
      <c r="B127" s="2041"/>
      <c r="C127" s="2042"/>
      <c r="D127" s="2042"/>
      <c r="E127" s="2042"/>
      <c r="F127" s="2042"/>
      <c r="G127" s="2042"/>
      <c r="H127" s="2042"/>
      <c r="I127" s="2104" t="s">
        <v>2362</v>
      </c>
      <c r="J127" s="2104"/>
      <c r="K127" s="2104"/>
      <c r="L127" s="2104"/>
      <c r="M127" s="2104"/>
      <c r="N127" s="2104"/>
      <c r="O127" s="2105" t="s">
        <v>2361</v>
      </c>
      <c r="P127" s="2105"/>
      <c r="Q127" s="2105"/>
      <c r="R127" s="2105"/>
      <c r="S127" s="2105"/>
      <c r="T127" s="2105"/>
      <c r="U127" s="2106"/>
      <c r="V127" s="1190"/>
      <c r="W127" s="1190"/>
      <c r="X127" s="2044" t="s">
        <v>2331</v>
      </c>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194"/>
    </row>
    <row r="128" spans="1:57" ht="15.75" customHeight="1">
      <c r="A128" s="1190"/>
      <c r="B128" s="2075" t="s">
        <v>2345</v>
      </c>
      <c r="C128" s="2076"/>
      <c r="D128" s="2076"/>
      <c r="E128" s="2076"/>
      <c r="F128" s="2076"/>
      <c r="G128" s="2076"/>
      <c r="H128" s="2076"/>
      <c r="I128" s="2077">
        <v>0</v>
      </c>
      <c r="J128" s="2077"/>
      <c r="K128" s="2077"/>
      <c r="L128" s="2077"/>
      <c r="M128" s="2077"/>
      <c r="N128" s="2077"/>
      <c r="O128" s="2077">
        <v>0</v>
      </c>
      <c r="P128" s="2077"/>
      <c r="Q128" s="2077"/>
      <c r="R128" s="2077"/>
      <c r="S128" s="2077"/>
      <c r="T128" s="2077"/>
      <c r="U128" s="2078"/>
      <c r="V128" s="1190"/>
      <c r="W128" s="1190"/>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194"/>
    </row>
    <row r="129" spans="1:57" ht="15.75" customHeight="1" thickBot="1">
      <c r="A129" s="1190"/>
      <c r="B129" s="2069" t="s">
        <v>2344</v>
      </c>
      <c r="C129" s="2070"/>
      <c r="D129" s="2070"/>
      <c r="E129" s="2070"/>
      <c r="F129" s="2070"/>
      <c r="G129" s="2070"/>
      <c r="H129" s="2070"/>
      <c r="I129" s="2071">
        <v>0</v>
      </c>
      <c r="J129" s="2071"/>
      <c r="K129" s="2071"/>
      <c r="L129" s="2071"/>
      <c r="M129" s="2071"/>
      <c r="N129" s="2071"/>
      <c r="O129" s="2107"/>
      <c r="P129" s="2107"/>
      <c r="Q129" s="2107"/>
      <c r="R129" s="2107"/>
      <c r="S129" s="2107"/>
      <c r="T129" s="2107"/>
      <c r="U129" s="2108"/>
      <c r="V129" s="1190"/>
      <c r="W129" s="1190"/>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94"/>
    </row>
    <row r="133" spans="1:57" ht="15.75" customHeight="1">
      <c r="A133" s="1190"/>
      <c r="B133" s="2101" t="s">
        <v>2359</v>
      </c>
      <c r="C133" s="2102"/>
      <c r="D133" s="2102"/>
      <c r="E133" s="2102"/>
      <c r="F133" s="2102"/>
      <c r="G133" s="2102"/>
      <c r="H133" s="2102"/>
      <c r="I133" s="2102"/>
      <c r="J133" s="2102"/>
      <c r="K133" s="2102"/>
      <c r="L133" s="2102"/>
      <c r="M133" s="2102"/>
      <c r="N133" s="2102"/>
      <c r="O133" s="2102"/>
      <c r="P133" s="2102"/>
      <c r="Q133" s="2102"/>
      <c r="R133" s="2102"/>
      <c r="S133" s="2102"/>
      <c r="T133" s="2102"/>
      <c r="U133" s="2103"/>
      <c r="V133" s="1190"/>
      <c r="W133" s="1190"/>
      <c r="X133" s="2044"/>
      <c r="Y133" s="2045"/>
      <c r="Z133" s="2045"/>
      <c r="AA133" s="2045"/>
      <c r="AB133" s="2045"/>
      <c r="AC133" s="2045"/>
      <c r="AD133" s="2045"/>
      <c r="AE133" s="2045"/>
      <c r="AF133" s="2045"/>
      <c r="AG133" s="2045"/>
      <c r="AH133" s="2045"/>
      <c r="AI133" s="2045"/>
      <c r="AJ133" s="2045"/>
      <c r="AK133" s="2045"/>
      <c r="AL133" s="2045"/>
      <c r="AM133" s="2045"/>
      <c r="AN133" s="2045"/>
      <c r="AO133" s="2045"/>
      <c r="AP133" s="2045"/>
      <c r="AQ133" s="2045"/>
      <c r="AR133" s="2045"/>
      <c r="AS133" s="2045"/>
      <c r="AT133" s="2045"/>
      <c r="AU133" s="2045"/>
      <c r="AV133" s="2045"/>
      <c r="AW133" s="2045"/>
      <c r="AX133" s="2045"/>
      <c r="AY133" s="2045"/>
      <c r="AZ133" s="2045"/>
      <c r="BA133" s="2045"/>
      <c r="BB133" s="2045"/>
      <c r="BC133" s="2045"/>
      <c r="BD133" s="2046"/>
      <c r="BE133" s="1194"/>
    </row>
    <row r="134" spans="1:57" ht="15.75" customHeight="1">
      <c r="A134" s="1190"/>
      <c r="B134" s="2041"/>
      <c r="C134" s="2042"/>
      <c r="D134" s="2042"/>
      <c r="E134" s="2042"/>
      <c r="F134" s="2042"/>
      <c r="G134" s="2042"/>
      <c r="H134" s="2042"/>
      <c r="I134" s="2079" t="s">
        <v>2347</v>
      </c>
      <c r="J134" s="2079"/>
      <c r="K134" s="2079"/>
      <c r="L134" s="2079"/>
      <c r="M134" s="2079"/>
      <c r="N134" s="2079"/>
      <c r="O134" s="2079"/>
      <c r="P134" s="2079" t="s">
        <v>2346</v>
      </c>
      <c r="Q134" s="2079"/>
      <c r="R134" s="2079"/>
      <c r="S134" s="2079"/>
      <c r="T134" s="2079"/>
      <c r="U134" s="2080"/>
      <c r="V134" s="1190"/>
      <c r="W134" s="1190"/>
      <c r="X134" s="2044"/>
      <c r="Y134" s="2045"/>
      <c r="Z134" s="2045"/>
      <c r="AA134" s="2045"/>
      <c r="AB134" s="2045"/>
      <c r="AC134" s="2045"/>
      <c r="AD134" s="2045"/>
      <c r="AE134" s="2045"/>
      <c r="AF134" s="2045"/>
      <c r="AG134" s="2045"/>
      <c r="AH134" s="2045"/>
      <c r="AI134" s="2045"/>
      <c r="AJ134" s="2045"/>
      <c r="AK134" s="2045"/>
      <c r="AL134" s="2045"/>
      <c r="AM134" s="2045"/>
      <c r="AN134" s="2045"/>
      <c r="AO134" s="2045"/>
      <c r="AP134" s="2045"/>
      <c r="AQ134" s="2045"/>
      <c r="AR134" s="2045"/>
      <c r="AS134" s="2045"/>
      <c r="AT134" s="2045"/>
      <c r="AU134" s="2045"/>
      <c r="AV134" s="2045"/>
      <c r="AW134" s="2045"/>
      <c r="AX134" s="2045"/>
      <c r="AY134" s="2045"/>
      <c r="AZ134" s="2045"/>
      <c r="BA134" s="2045"/>
      <c r="BB134" s="2045"/>
      <c r="BC134" s="2045"/>
      <c r="BD134" s="2046"/>
      <c r="BE134" s="1194"/>
    </row>
    <row r="135" spans="1:57" ht="15.75" customHeight="1">
      <c r="A135" s="1190"/>
      <c r="B135" s="2041"/>
      <c r="C135" s="2042"/>
      <c r="D135" s="2042"/>
      <c r="E135" s="2042"/>
      <c r="F135" s="2042"/>
      <c r="G135" s="2042"/>
      <c r="H135" s="2042"/>
      <c r="I135" s="2079"/>
      <c r="J135" s="2079"/>
      <c r="K135" s="2079"/>
      <c r="L135" s="2079"/>
      <c r="M135" s="2079"/>
      <c r="N135" s="2079"/>
      <c r="O135" s="2079"/>
      <c r="P135" s="2079"/>
      <c r="Q135" s="2079"/>
      <c r="R135" s="2079"/>
      <c r="S135" s="2079"/>
      <c r="T135" s="2079"/>
      <c r="U135" s="2080"/>
      <c r="V135" s="1190"/>
      <c r="W135" s="1190"/>
      <c r="X135" s="2044"/>
      <c r="Y135" s="2045"/>
      <c r="Z135" s="2045"/>
      <c r="AA135" s="2045"/>
      <c r="AB135" s="2045"/>
      <c r="AC135" s="2045"/>
      <c r="AD135" s="2045"/>
      <c r="AE135" s="2045"/>
      <c r="AF135" s="2045"/>
      <c r="AG135" s="2045"/>
      <c r="AH135" s="2045"/>
      <c r="AI135" s="2045"/>
      <c r="AJ135" s="2045"/>
      <c r="AK135" s="2045"/>
      <c r="AL135" s="2045"/>
      <c r="AM135" s="2045"/>
      <c r="AN135" s="2045"/>
      <c r="AO135" s="2045"/>
      <c r="AP135" s="2045"/>
      <c r="AQ135" s="2045"/>
      <c r="AR135" s="2045"/>
      <c r="AS135" s="2045"/>
      <c r="AT135" s="2045"/>
      <c r="AU135" s="2045"/>
      <c r="AV135" s="2045"/>
      <c r="AW135" s="2045"/>
      <c r="AX135" s="2045"/>
      <c r="AY135" s="2045"/>
      <c r="AZ135" s="2045"/>
      <c r="BA135" s="2045"/>
      <c r="BB135" s="2045"/>
      <c r="BC135" s="2045"/>
      <c r="BD135" s="2046"/>
      <c r="BE135" s="1194"/>
    </row>
    <row r="136" spans="1:57" ht="15.75" customHeight="1">
      <c r="A136" s="1190"/>
      <c r="B136" s="2075" t="s">
        <v>2345</v>
      </c>
      <c r="C136" s="2076"/>
      <c r="D136" s="2076"/>
      <c r="E136" s="2076"/>
      <c r="F136" s="2076"/>
      <c r="G136" s="2076"/>
      <c r="H136" s="2076"/>
      <c r="I136" s="2077">
        <v>0</v>
      </c>
      <c r="J136" s="2077"/>
      <c r="K136" s="2077"/>
      <c r="L136" s="2077"/>
      <c r="M136" s="2077"/>
      <c r="N136" s="2077"/>
      <c r="O136" s="2077"/>
      <c r="P136" s="2077">
        <v>0</v>
      </c>
      <c r="Q136" s="2077"/>
      <c r="R136" s="2077"/>
      <c r="S136" s="2077"/>
      <c r="T136" s="2077"/>
      <c r="U136" s="2078"/>
      <c r="V136" s="1190"/>
      <c r="W136" s="1190"/>
      <c r="X136" s="2044"/>
      <c r="Y136" s="2045"/>
      <c r="Z136" s="2045"/>
      <c r="AA136" s="2045"/>
      <c r="AB136" s="2045"/>
      <c r="AC136" s="2045"/>
      <c r="AD136" s="2045"/>
      <c r="AE136" s="2045"/>
      <c r="AF136" s="2045"/>
      <c r="AG136" s="2045"/>
      <c r="AH136" s="2045"/>
      <c r="AI136" s="2045"/>
      <c r="AJ136" s="2045"/>
      <c r="AK136" s="2045"/>
      <c r="AL136" s="2045"/>
      <c r="AM136" s="2045"/>
      <c r="AN136" s="2045"/>
      <c r="AO136" s="2045"/>
      <c r="AP136" s="2045"/>
      <c r="AQ136" s="2045"/>
      <c r="AR136" s="2045"/>
      <c r="AS136" s="2045"/>
      <c r="AT136" s="2045"/>
      <c r="AU136" s="2045"/>
      <c r="AV136" s="2045"/>
      <c r="AW136" s="2045"/>
      <c r="AX136" s="2045"/>
      <c r="AY136" s="2045"/>
      <c r="AZ136" s="2045"/>
      <c r="BA136" s="2045"/>
      <c r="BB136" s="2045"/>
      <c r="BC136" s="2045"/>
      <c r="BD136" s="2046"/>
      <c r="BE136" s="1194"/>
    </row>
    <row r="137" spans="1:57" ht="15.75" customHeight="1" thickBot="1">
      <c r="A137" s="1190"/>
      <c r="B137" s="2069" t="s">
        <v>2344</v>
      </c>
      <c r="C137" s="2070"/>
      <c r="D137" s="2070"/>
      <c r="E137" s="2070"/>
      <c r="F137" s="2070"/>
      <c r="G137" s="2070"/>
      <c r="H137" s="2070"/>
      <c r="I137" s="2071">
        <v>0</v>
      </c>
      <c r="J137" s="2071"/>
      <c r="K137" s="2071"/>
      <c r="L137" s="2071"/>
      <c r="M137" s="2071"/>
      <c r="N137" s="2071"/>
      <c r="O137" s="2071"/>
      <c r="P137" s="2071">
        <v>0</v>
      </c>
      <c r="Q137" s="2071"/>
      <c r="R137" s="2071"/>
      <c r="S137" s="2071"/>
      <c r="T137" s="2071"/>
      <c r="U137" s="2072"/>
      <c r="V137" s="1190"/>
      <c r="W137" s="1190"/>
      <c r="X137" s="2047"/>
      <c r="Y137" s="2048"/>
      <c r="Z137" s="2048"/>
      <c r="AA137" s="2048"/>
      <c r="AB137" s="2048"/>
      <c r="AC137" s="2048"/>
      <c r="AD137" s="2048"/>
      <c r="AE137" s="2048"/>
      <c r="AF137" s="2048"/>
      <c r="AG137" s="2048"/>
      <c r="AH137" s="2048"/>
      <c r="AI137" s="2048"/>
      <c r="AJ137" s="2048"/>
      <c r="AK137" s="2048"/>
      <c r="AL137" s="2048"/>
      <c r="AM137" s="2048"/>
      <c r="AN137" s="2048"/>
      <c r="AO137" s="2048"/>
      <c r="AP137" s="2048"/>
      <c r="AQ137" s="2048"/>
      <c r="AR137" s="2048"/>
      <c r="AS137" s="2048"/>
      <c r="AT137" s="2048"/>
      <c r="AU137" s="2048"/>
      <c r="AV137" s="2048"/>
      <c r="AW137" s="2048"/>
      <c r="AX137" s="2048"/>
      <c r="AY137" s="2048"/>
      <c r="AZ137" s="2048"/>
      <c r="BA137" s="2048"/>
      <c r="BB137" s="2048"/>
      <c r="BC137" s="2048"/>
      <c r="BD137" s="204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6" t="s">
        <v>2358</v>
      </c>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84" t="s">
        <v>546</v>
      </c>
      <c r="AI139" s="2084"/>
      <c r="AJ139" s="2084"/>
      <c r="AK139" s="2084"/>
      <c r="AL139" s="2084"/>
      <c r="AM139" s="2084"/>
      <c r="AN139" s="2084"/>
      <c r="AO139" s="2084"/>
      <c r="AP139" s="2084"/>
      <c r="AQ139" s="2084"/>
      <c r="AR139" s="2084"/>
      <c r="AS139" s="2084"/>
      <c r="AT139" s="2084"/>
      <c r="AU139" s="2084"/>
      <c r="AV139" s="2084"/>
      <c r="AW139" s="2084"/>
      <c r="AX139" s="2085"/>
      <c r="AY139" s="1190"/>
      <c r="AZ139" s="1190"/>
      <c r="BA139" s="1190"/>
      <c r="BB139" s="1190"/>
      <c r="BC139" s="1190"/>
      <c r="BD139" s="1190"/>
      <c r="BE139" s="1194"/>
    </row>
    <row r="140" spans="1:57" ht="15.75" customHeight="1" thickBot="1">
      <c r="A140" s="1190"/>
      <c r="B140" s="2081" t="s">
        <v>2357</v>
      </c>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081" t="s">
        <v>2356</v>
      </c>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3"/>
      <c r="AH141" s="2084" t="s">
        <v>546</v>
      </c>
      <c r="AI141" s="2084"/>
      <c r="AJ141" s="2084"/>
      <c r="AK141" s="2084"/>
      <c r="AL141" s="2084"/>
      <c r="AM141" s="2084"/>
      <c r="AN141" s="2084"/>
      <c r="AO141" s="2084"/>
      <c r="AP141" s="2084"/>
      <c r="AQ141" s="2084"/>
      <c r="AR141" s="2084"/>
      <c r="AS141" s="2084"/>
      <c r="AT141" s="2084"/>
      <c r="AU141" s="2084"/>
      <c r="AV141" s="2084"/>
      <c r="AW141" s="2084"/>
      <c r="AX141" s="2085"/>
      <c r="AY141" s="1190"/>
      <c r="AZ141" s="1190"/>
      <c r="BA141" s="1190"/>
      <c r="BB141" s="1190"/>
      <c r="BC141" s="1190"/>
      <c r="BD141" s="1190"/>
      <c r="BE141" s="1194"/>
    </row>
    <row r="142" spans="1:57" ht="15.75" customHeight="1">
      <c r="A142" s="1190"/>
      <c r="B142" s="2086" t="s">
        <v>2355</v>
      </c>
      <c r="C142" s="2087"/>
      <c r="D142" s="2087"/>
      <c r="E142" s="2087"/>
      <c r="F142" s="2087"/>
      <c r="G142" s="2087"/>
      <c r="H142" s="2087"/>
      <c r="I142" s="2087"/>
      <c r="J142" s="2087"/>
      <c r="K142" s="2087"/>
      <c r="L142" s="2087"/>
      <c r="M142" s="2087"/>
      <c r="N142" s="2087"/>
      <c r="O142" s="2087"/>
      <c r="P142" s="2087"/>
      <c r="Q142" s="2087"/>
      <c r="R142" s="2088" t="s">
        <v>2354</v>
      </c>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190"/>
      <c r="AZ142" s="1190"/>
      <c r="BA142" s="1190"/>
      <c r="BB142" s="1190"/>
      <c r="BC142" s="1190" t="s">
        <v>250</v>
      </c>
      <c r="BD142" s="1190"/>
      <c r="BE142" s="1194"/>
    </row>
    <row r="143" spans="1:57" ht="15.75" customHeight="1">
      <c r="A143" s="1190"/>
      <c r="B143" s="2090" t="s">
        <v>2353</v>
      </c>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190"/>
      <c r="AZ143" s="1190"/>
      <c r="BA143" s="1190"/>
      <c r="BB143" s="1190"/>
      <c r="BC143" s="1190"/>
      <c r="BD143" s="1190"/>
      <c r="BE143" s="1194"/>
    </row>
    <row r="144" spans="1:57" ht="15.75" customHeight="1">
      <c r="A144" s="1190"/>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190"/>
      <c r="AZ144" s="1190"/>
      <c r="BA144" s="1190"/>
      <c r="BB144" s="1190"/>
      <c r="BC144" s="1190"/>
      <c r="BD144" s="1190"/>
      <c r="BE144" s="1194"/>
    </row>
    <row r="145" spans="1:57" ht="15.75" customHeight="1">
      <c r="A145" s="1190"/>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190"/>
      <c r="AZ145" s="1190"/>
      <c r="BA145" s="1190"/>
      <c r="BB145" s="1190"/>
      <c r="BC145" s="1190"/>
      <c r="BD145" s="1190"/>
      <c r="BE145" s="1194"/>
    </row>
    <row r="146" spans="1:57" ht="15.75" customHeight="1">
      <c r="A146" s="1190"/>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190"/>
      <c r="AZ146" s="1190"/>
      <c r="BA146" s="1190"/>
      <c r="BB146" s="1190"/>
      <c r="BC146" s="1190"/>
      <c r="BD146" s="1190"/>
      <c r="BE146" s="1194"/>
    </row>
    <row r="147" spans="1:57" ht="15.75" customHeight="1">
      <c r="A147" s="1190"/>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190"/>
      <c r="AZ147" s="1190"/>
      <c r="BA147" s="1190"/>
      <c r="BB147" s="1190"/>
      <c r="BC147" s="1190"/>
      <c r="BD147" s="1190"/>
      <c r="BE147" s="1194"/>
    </row>
    <row r="148" spans="1:57" ht="15.75" customHeight="1">
      <c r="A148" s="1190"/>
      <c r="B148" s="2090"/>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2"/>
      <c r="AY148" s="1190"/>
      <c r="AZ148" s="1190"/>
      <c r="BA148" s="1190"/>
      <c r="BB148" s="1190"/>
      <c r="BC148" s="1190"/>
      <c r="BD148" s="1190"/>
      <c r="BE148" s="1194"/>
    </row>
    <row r="149" spans="1:57" ht="15.75" customHeight="1">
      <c r="A149" s="1190"/>
      <c r="B149" s="2090"/>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c r="AF149" s="2091"/>
      <c r="AG149" s="2091"/>
      <c r="AH149" s="2091"/>
      <c r="AI149" s="2091"/>
      <c r="AJ149" s="2091"/>
      <c r="AK149" s="2091"/>
      <c r="AL149" s="2091"/>
      <c r="AM149" s="2091"/>
      <c r="AN149" s="2091"/>
      <c r="AO149" s="2091"/>
      <c r="AP149" s="2091"/>
      <c r="AQ149" s="2091"/>
      <c r="AR149" s="2091"/>
      <c r="AS149" s="2091"/>
      <c r="AT149" s="2091"/>
      <c r="AU149" s="2091"/>
      <c r="AV149" s="2091"/>
      <c r="AW149" s="2091"/>
      <c r="AX149" s="2092"/>
      <c r="AY149" s="1190"/>
      <c r="AZ149" s="1190"/>
      <c r="BA149" s="1190"/>
      <c r="BB149" s="1190"/>
      <c r="BC149" s="1190"/>
      <c r="BD149" s="1190"/>
      <c r="BE149" s="1194"/>
    </row>
    <row r="150" spans="1:57" ht="15.75" customHeight="1">
      <c r="A150" s="1190"/>
      <c r="B150" s="2090"/>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c r="AF150" s="2091"/>
      <c r="AG150" s="2091"/>
      <c r="AH150" s="2091"/>
      <c r="AI150" s="2091"/>
      <c r="AJ150" s="2091"/>
      <c r="AK150" s="2091"/>
      <c r="AL150" s="2091"/>
      <c r="AM150" s="2091"/>
      <c r="AN150" s="2091"/>
      <c r="AO150" s="2091"/>
      <c r="AP150" s="2091"/>
      <c r="AQ150" s="2091"/>
      <c r="AR150" s="2091"/>
      <c r="AS150" s="2091"/>
      <c r="AT150" s="2091"/>
      <c r="AU150" s="2091"/>
      <c r="AV150" s="2091"/>
      <c r="AW150" s="2091"/>
      <c r="AX150" s="2092"/>
      <c r="AY150" s="1190"/>
      <c r="AZ150" s="1190"/>
      <c r="BA150" s="1190"/>
      <c r="BB150" s="1190"/>
      <c r="BC150" s="1190"/>
      <c r="BD150" s="1190"/>
      <c r="BE150" s="1194"/>
    </row>
    <row r="151" spans="1:57" ht="15.75" customHeight="1">
      <c r="A151" s="1190"/>
      <c r="B151" s="2090"/>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c r="AF151" s="2091"/>
      <c r="AG151" s="2091"/>
      <c r="AH151" s="2091"/>
      <c r="AI151" s="2091"/>
      <c r="AJ151" s="2091"/>
      <c r="AK151" s="2091"/>
      <c r="AL151" s="2091"/>
      <c r="AM151" s="2091"/>
      <c r="AN151" s="2091"/>
      <c r="AO151" s="2091"/>
      <c r="AP151" s="2091"/>
      <c r="AQ151" s="2091"/>
      <c r="AR151" s="2091"/>
      <c r="AS151" s="2091"/>
      <c r="AT151" s="2091"/>
      <c r="AU151" s="2091"/>
      <c r="AV151" s="2091"/>
      <c r="AW151" s="2091"/>
      <c r="AX151" s="2092"/>
      <c r="AY151" s="1190"/>
      <c r="AZ151" s="1190"/>
      <c r="BA151" s="1190"/>
      <c r="BB151" s="1190"/>
      <c r="BC151" s="1190"/>
      <c r="BD151" s="1190"/>
      <c r="BE151" s="1194"/>
    </row>
    <row r="152" spans="1:57" ht="15.75" customHeight="1" thickBot="1">
      <c r="A152" s="1190"/>
      <c r="B152" s="2093"/>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K152" s="2094"/>
      <c r="AL152" s="2094"/>
      <c r="AM152" s="2094"/>
      <c r="AN152" s="2094"/>
      <c r="AO152" s="2094"/>
      <c r="AP152" s="2094"/>
      <c r="AQ152" s="2094"/>
      <c r="AR152" s="2094"/>
      <c r="AS152" s="2094"/>
      <c r="AT152" s="2094"/>
      <c r="AU152" s="2094"/>
      <c r="AV152" s="2094"/>
      <c r="AW152" s="2094"/>
      <c r="AX152" s="209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3" t="s">
        <v>2350</v>
      </c>
      <c r="C156" s="2029"/>
      <c r="D156" s="2029"/>
      <c r="E156" s="2029"/>
      <c r="F156" s="2029"/>
      <c r="G156" s="2029"/>
      <c r="H156" s="2029"/>
      <c r="I156" s="2029"/>
      <c r="J156" s="2029"/>
      <c r="K156" s="2029"/>
      <c r="L156" s="2029"/>
      <c r="M156" s="2029"/>
      <c r="N156" s="2029"/>
      <c r="O156" s="2029"/>
      <c r="P156" s="2029"/>
      <c r="Q156" s="2029"/>
      <c r="R156" s="2029"/>
      <c r="S156" s="2029"/>
      <c r="T156" s="2029"/>
      <c r="U156" s="2030"/>
      <c r="V156" s="1190"/>
      <c r="W156" s="1192"/>
      <c r="X156" s="2073" t="s">
        <v>2349</v>
      </c>
      <c r="Y156" s="2029"/>
      <c r="Z156" s="2029"/>
      <c r="AA156" s="2029"/>
      <c r="AB156" s="2029"/>
      <c r="AC156" s="2029"/>
      <c r="AD156" s="2029"/>
      <c r="AE156" s="2029"/>
      <c r="AF156" s="2029"/>
      <c r="AG156" s="2029"/>
      <c r="AH156" s="2029"/>
      <c r="AI156" s="2029"/>
      <c r="AJ156" s="2029"/>
      <c r="AK156" s="2029"/>
      <c r="AL156" s="2029"/>
      <c r="AM156" s="2029"/>
      <c r="AN156" s="2029"/>
      <c r="AO156" s="2029"/>
      <c r="AP156" s="2029"/>
      <c r="AQ156" s="2030"/>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1"/>
      <c r="C157" s="2042"/>
      <c r="D157" s="2042"/>
      <c r="E157" s="2042"/>
      <c r="F157" s="2042"/>
      <c r="G157" s="2042"/>
      <c r="H157" s="2042"/>
      <c r="I157" s="2079" t="s">
        <v>2347</v>
      </c>
      <c r="J157" s="2079"/>
      <c r="K157" s="2079"/>
      <c r="L157" s="2079"/>
      <c r="M157" s="2079"/>
      <c r="N157" s="2079"/>
      <c r="O157" s="2079"/>
      <c r="P157" s="2079" t="s">
        <v>2348</v>
      </c>
      <c r="Q157" s="2079"/>
      <c r="R157" s="2079"/>
      <c r="S157" s="2079"/>
      <c r="T157" s="2079"/>
      <c r="U157" s="2080"/>
      <c r="V157" s="1190"/>
      <c r="W157" s="1190"/>
      <c r="X157" s="2041"/>
      <c r="Y157" s="2042"/>
      <c r="Z157" s="2042"/>
      <c r="AA157" s="2042"/>
      <c r="AB157" s="2042"/>
      <c r="AC157" s="2042"/>
      <c r="AD157" s="2042"/>
      <c r="AE157" s="2079" t="s">
        <v>2347</v>
      </c>
      <c r="AF157" s="2079"/>
      <c r="AG157" s="2079"/>
      <c r="AH157" s="2079"/>
      <c r="AI157" s="2079"/>
      <c r="AJ157" s="2079"/>
      <c r="AK157" s="2079"/>
      <c r="AL157" s="2079" t="s">
        <v>2346</v>
      </c>
      <c r="AM157" s="2079"/>
      <c r="AN157" s="2079"/>
      <c r="AO157" s="2079"/>
      <c r="AP157" s="2079"/>
      <c r="AQ157" s="20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1"/>
      <c r="C158" s="2042"/>
      <c r="D158" s="2042"/>
      <c r="E158" s="2042"/>
      <c r="F158" s="2042"/>
      <c r="G158" s="2042"/>
      <c r="H158" s="2042"/>
      <c r="I158" s="2079"/>
      <c r="J158" s="2079"/>
      <c r="K158" s="2079"/>
      <c r="L158" s="2079"/>
      <c r="M158" s="2079"/>
      <c r="N158" s="2079"/>
      <c r="O158" s="2079"/>
      <c r="P158" s="2079"/>
      <c r="Q158" s="2079"/>
      <c r="R158" s="2079"/>
      <c r="S158" s="2079"/>
      <c r="T158" s="2079"/>
      <c r="U158" s="2080"/>
      <c r="V158" s="1190"/>
      <c r="W158" s="1190"/>
      <c r="X158" s="2041"/>
      <c r="Y158" s="2042"/>
      <c r="Z158" s="2042"/>
      <c r="AA158" s="2042"/>
      <c r="AB158" s="2042"/>
      <c r="AC158" s="2042"/>
      <c r="AD158" s="2042"/>
      <c r="AE158" s="2079"/>
      <c r="AF158" s="2079"/>
      <c r="AG158" s="2079"/>
      <c r="AH158" s="2079"/>
      <c r="AI158" s="2079"/>
      <c r="AJ158" s="2079"/>
      <c r="AK158" s="2079"/>
      <c r="AL158" s="2079"/>
      <c r="AM158" s="2079"/>
      <c r="AN158" s="2079"/>
      <c r="AO158" s="2079"/>
      <c r="AP158" s="2079"/>
      <c r="AQ158" s="20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5" t="s">
        <v>2345</v>
      </c>
      <c r="C159" s="2076"/>
      <c r="D159" s="2076"/>
      <c r="E159" s="2076"/>
      <c r="F159" s="2076"/>
      <c r="G159" s="2076"/>
      <c r="H159" s="2076"/>
      <c r="I159" s="2077">
        <v>0</v>
      </c>
      <c r="J159" s="2077"/>
      <c r="K159" s="2077"/>
      <c r="L159" s="2077"/>
      <c r="M159" s="2077"/>
      <c r="N159" s="2077"/>
      <c r="O159" s="2077"/>
      <c r="P159" s="2077">
        <v>0</v>
      </c>
      <c r="Q159" s="2077"/>
      <c r="R159" s="2077"/>
      <c r="S159" s="2077"/>
      <c r="T159" s="2077"/>
      <c r="U159" s="2078"/>
      <c r="V159" s="1190"/>
      <c r="W159" s="1190"/>
      <c r="X159" s="2069" t="s">
        <v>2345</v>
      </c>
      <c r="Y159" s="2070"/>
      <c r="Z159" s="2070"/>
      <c r="AA159" s="2070"/>
      <c r="AB159" s="2070"/>
      <c r="AC159" s="2070"/>
      <c r="AD159" s="2070"/>
      <c r="AE159" s="2071">
        <v>0</v>
      </c>
      <c r="AF159" s="2071"/>
      <c r="AG159" s="2071"/>
      <c r="AH159" s="2071"/>
      <c r="AI159" s="2071"/>
      <c r="AJ159" s="2071"/>
      <c r="AK159" s="2071"/>
      <c r="AL159" s="2071">
        <v>0</v>
      </c>
      <c r="AM159" s="2071"/>
      <c r="AN159" s="2071"/>
      <c r="AO159" s="2071"/>
      <c r="AP159" s="2071"/>
      <c r="AQ159" s="207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9" t="s">
        <v>2344</v>
      </c>
      <c r="C160" s="2070"/>
      <c r="D160" s="2070"/>
      <c r="E160" s="2070"/>
      <c r="F160" s="2070"/>
      <c r="G160" s="2070"/>
      <c r="H160" s="2070"/>
      <c r="I160" s="2071">
        <v>0</v>
      </c>
      <c r="J160" s="2071"/>
      <c r="K160" s="2071"/>
      <c r="L160" s="2071"/>
      <c r="M160" s="2071"/>
      <c r="N160" s="2071"/>
      <c r="O160" s="2071"/>
      <c r="P160" s="2071">
        <v>0</v>
      </c>
      <c r="Q160" s="2071"/>
      <c r="R160" s="2071"/>
      <c r="S160" s="2071"/>
      <c r="T160" s="2071"/>
      <c r="U160" s="207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3" t="s">
        <v>2343</v>
      </c>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3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1" t="s">
        <v>2328</v>
      </c>
      <c r="D163" s="2042"/>
      <c r="E163" s="2042"/>
      <c r="F163" s="2042"/>
      <c r="G163" s="2042"/>
      <c r="H163" s="2042"/>
      <c r="I163" s="2042"/>
      <c r="J163" s="2042"/>
      <c r="K163" s="2042"/>
      <c r="L163" s="2042"/>
      <c r="M163" s="2042"/>
      <c r="N163" s="2042"/>
      <c r="O163" s="2042"/>
      <c r="P163" s="2042"/>
      <c r="Q163" s="2042" t="s">
        <v>2342</v>
      </c>
      <c r="R163" s="2042"/>
      <c r="S163" s="2042"/>
      <c r="T163" s="2074" t="s">
        <v>2341</v>
      </c>
      <c r="U163" s="2074"/>
      <c r="V163" s="2074"/>
      <c r="W163" s="2074"/>
      <c r="X163" s="2074"/>
      <c r="Y163" s="2074"/>
      <c r="Z163" s="2074"/>
      <c r="AA163" s="2074"/>
      <c r="AB163" s="2042" t="s">
        <v>2340</v>
      </c>
      <c r="AC163" s="2042"/>
      <c r="AD163" s="2042"/>
      <c r="AE163" s="2042"/>
      <c r="AF163" s="2042"/>
      <c r="AG163" s="204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6" t="s">
        <v>2339</v>
      </c>
      <c r="D164" s="2057"/>
      <c r="E164" s="2057"/>
      <c r="F164" s="2057"/>
      <c r="G164" s="2057"/>
      <c r="H164" s="2057"/>
      <c r="I164" s="2057"/>
      <c r="J164" s="2057"/>
      <c r="K164" s="2057"/>
      <c r="L164" s="2057"/>
      <c r="M164" s="2057"/>
      <c r="N164" s="2057"/>
      <c r="O164" s="2057"/>
      <c r="P164" s="2057"/>
      <c r="Q164" s="1999">
        <v>55</v>
      </c>
      <c r="R164" s="1999"/>
      <c r="S164" s="1999"/>
      <c r="T164" s="2050"/>
      <c r="U164" s="2050"/>
      <c r="V164" s="2050"/>
      <c r="W164" s="2050"/>
      <c r="X164" s="2050"/>
      <c r="Y164" s="2050"/>
      <c r="Z164" s="2050"/>
      <c r="AA164" s="2050"/>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6" t="s">
        <v>2338</v>
      </c>
      <c r="D165" s="2057"/>
      <c r="E165" s="2057"/>
      <c r="F165" s="2057"/>
      <c r="G165" s="2057"/>
      <c r="H165" s="2057"/>
      <c r="I165" s="2057"/>
      <c r="J165" s="2057"/>
      <c r="K165" s="2057"/>
      <c r="L165" s="2057"/>
      <c r="M165" s="2057"/>
      <c r="N165" s="2057"/>
      <c r="O165" s="2057"/>
      <c r="P165" s="2057"/>
      <c r="Q165" s="1999">
        <v>55</v>
      </c>
      <c r="R165" s="1999"/>
      <c r="S165" s="1999"/>
      <c r="T165" s="2059"/>
      <c r="U165" s="2059"/>
      <c r="V165" s="2059"/>
      <c r="W165" s="2059"/>
      <c r="X165" s="2059"/>
      <c r="Y165" s="2059"/>
      <c r="Z165" s="2059"/>
      <c r="AA165" s="20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6" t="s">
        <v>2337</v>
      </c>
      <c r="D166" s="2057"/>
      <c r="E166" s="2057"/>
      <c r="F166" s="2057"/>
      <c r="G166" s="2057"/>
      <c r="H166" s="2057"/>
      <c r="I166" s="2057"/>
      <c r="J166" s="2057"/>
      <c r="K166" s="2057"/>
      <c r="L166" s="2057"/>
      <c r="M166" s="2057"/>
      <c r="N166" s="2057"/>
      <c r="O166" s="2057"/>
      <c r="P166" s="2057"/>
      <c r="Q166" s="1999">
        <v>55</v>
      </c>
      <c r="R166" s="1999"/>
      <c r="S166" s="1999"/>
      <c r="T166" s="2050"/>
      <c r="U166" s="2050"/>
      <c r="V166" s="2050"/>
      <c r="W166" s="2050"/>
      <c r="X166" s="2050"/>
      <c r="Y166" s="2050"/>
      <c r="Z166" s="2050"/>
      <c r="AA166" s="205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6" t="s">
        <v>2336</v>
      </c>
      <c r="D167" s="2057"/>
      <c r="E167" s="2057"/>
      <c r="F167" s="2057"/>
      <c r="G167" s="2057"/>
      <c r="H167" s="2057"/>
      <c r="I167" s="2057"/>
      <c r="J167" s="2057"/>
      <c r="K167" s="2057"/>
      <c r="L167" s="2057"/>
      <c r="M167" s="2057"/>
      <c r="N167" s="2057"/>
      <c r="O167" s="2057"/>
      <c r="P167" s="2057"/>
      <c r="Q167" s="1999">
        <v>55</v>
      </c>
      <c r="R167" s="1999"/>
      <c r="S167" s="1999"/>
      <c r="T167" s="2050"/>
      <c r="U167" s="2050"/>
      <c r="V167" s="2050"/>
      <c r="W167" s="2050"/>
      <c r="X167" s="2050"/>
      <c r="Y167" s="2050"/>
      <c r="Z167" s="2050"/>
      <c r="AA167" s="2050"/>
      <c r="AB167" s="2060">
        <v>0</v>
      </c>
      <c r="AC167" s="2060"/>
      <c r="AD167" s="2060"/>
      <c r="AE167" s="2060"/>
      <c r="AF167" s="2060"/>
      <c r="AG167" s="20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6" t="s">
        <v>170</v>
      </c>
      <c r="D168" s="2057"/>
      <c r="E168" s="2057"/>
      <c r="F168" s="2058" t="s">
        <v>2317</v>
      </c>
      <c r="G168" s="2058"/>
      <c r="H168" s="2058"/>
      <c r="I168" s="2058"/>
      <c r="J168" s="2058"/>
      <c r="K168" s="2058"/>
      <c r="L168" s="2058"/>
      <c r="M168" s="2058"/>
      <c r="N168" s="2058"/>
      <c r="O168" s="2058"/>
      <c r="P168" s="2058"/>
      <c r="Q168" s="1999">
        <v>55</v>
      </c>
      <c r="R168" s="1999"/>
      <c r="S168" s="1999"/>
      <c r="T168" s="2059"/>
      <c r="U168" s="2059"/>
      <c r="V168" s="2059"/>
      <c r="W168" s="2059"/>
      <c r="X168" s="2059"/>
      <c r="Y168" s="2059"/>
      <c r="Z168" s="2059"/>
      <c r="AA168" s="2059"/>
      <c r="AB168" s="2060">
        <v>0</v>
      </c>
      <c r="AC168" s="2060"/>
      <c r="AD168" s="2060"/>
      <c r="AE168" s="2060"/>
      <c r="AF168" s="2060"/>
      <c r="AG168" s="20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6" t="s">
        <v>170</v>
      </c>
      <c r="D169" s="2057"/>
      <c r="E169" s="2057"/>
      <c r="F169" s="2058" t="s">
        <v>2317</v>
      </c>
      <c r="G169" s="2058"/>
      <c r="H169" s="2058"/>
      <c r="I169" s="2058"/>
      <c r="J169" s="2058"/>
      <c r="K169" s="2058"/>
      <c r="L169" s="2058"/>
      <c r="M169" s="2058"/>
      <c r="N169" s="2058"/>
      <c r="O169" s="2058"/>
      <c r="P169" s="2058"/>
      <c r="Q169" s="1999">
        <v>55</v>
      </c>
      <c r="R169" s="1999"/>
      <c r="S169" s="1999"/>
      <c r="T169" s="2059"/>
      <c r="U169" s="2059"/>
      <c r="V169" s="2059"/>
      <c r="W169" s="2059"/>
      <c r="X169" s="2059"/>
      <c r="Y169" s="2059"/>
      <c r="Z169" s="2059"/>
      <c r="AA169" s="2059"/>
      <c r="AB169" s="2060">
        <v>0</v>
      </c>
      <c r="AC169" s="2060"/>
      <c r="AD169" s="2060"/>
      <c r="AE169" s="2060"/>
      <c r="AF169" s="2060"/>
      <c r="AG169" s="20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2" t="s">
        <v>170</v>
      </c>
      <c r="D170" s="2063"/>
      <c r="E170" s="2063"/>
      <c r="F170" s="2064" t="s">
        <v>2317</v>
      </c>
      <c r="G170" s="2064"/>
      <c r="H170" s="2064"/>
      <c r="I170" s="2064"/>
      <c r="J170" s="2064"/>
      <c r="K170" s="2064"/>
      <c r="L170" s="2064"/>
      <c r="M170" s="2064"/>
      <c r="N170" s="2064"/>
      <c r="O170" s="2064"/>
      <c r="P170" s="2064"/>
      <c r="Q170" s="2065">
        <v>55</v>
      </c>
      <c r="R170" s="2065"/>
      <c r="S170" s="2065"/>
      <c r="T170" s="2066"/>
      <c r="U170" s="2066"/>
      <c r="V170" s="2066"/>
      <c r="W170" s="2066"/>
      <c r="X170" s="2066"/>
      <c r="Y170" s="2066"/>
      <c r="Z170" s="2066"/>
      <c r="AA170" s="2066"/>
      <c r="AB170" s="2067">
        <v>0</v>
      </c>
      <c r="AC170" s="2067"/>
      <c r="AD170" s="2067"/>
      <c r="AE170" s="2067"/>
      <c r="AF170" s="2067"/>
      <c r="AG170" s="20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7" t="s">
        <v>2335</v>
      </c>
      <c r="D172" s="2028"/>
      <c r="E172" s="2028"/>
      <c r="F172" s="2028"/>
      <c r="G172" s="2028"/>
      <c r="H172" s="2028"/>
      <c r="I172" s="2028"/>
      <c r="J172" s="2028"/>
      <c r="K172" s="2028"/>
      <c r="L172" s="2028"/>
      <c r="M172" s="2028"/>
      <c r="N172" s="2037"/>
      <c r="O172" s="1190"/>
      <c r="P172" s="2038" t="s">
        <v>2334</v>
      </c>
      <c r="Q172" s="2039"/>
      <c r="R172" s="2039"/>
      <c r="S172" s="2039"/>
      <c r="T172" s="2039"/>
      <c r="U172" s="2039"/>
      <c r="V172" s="2039"/>
      <c r="W172" s="2039"/>
      <c r="X172" s="2039"/>
      <c r="Y172" s="2039"/>
      <c r="Z172" s="2039"/>
      <c r="AA172" s="2039"/>
      <c r="AB172" s="2039"/>
      <c r="AC172" s="2039"/>
      <c r="AD172" s="2039"/>
      <c r="AE172" s="2039"/>
      <c r="AF172" s="2039"/>
      <c r="AG172" s="2039"/>
      <c r="AH172" s="2039"/>
      <c r="AI172" s="2039"/>
      <c r="AJ172" s="2039"/>
      <c r="AK172" s="2039"/>
      <c r="AL172" s="2039"/>
      <c r="AM172" s="2039"/>
      <c r="AN172" s="2039"/>
      <c r="AO172" s="204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1" t="s">
        <v>2333</v>
      </c>
      <c r="D173" s="2042"/>
      <c r="E173" s="2042"/>
      <c r="F173" s="2042"/>
      <c r="G173" s="2042"/>
      <c r="H173" s="2042"/>
      <c r="I173" s="2042" t="s">
        <v>2332</v>
      </c>
      <c r="J173" s="2042"/>
      <c r="K173" s="2042"/>
      <c r="L173" s="2042"/>
      <c r="M173" s="2042"/>
      <c r="N173" s="2043"/>
      <c r="O173" s="1190"/>
      <c r="P173" s="2044" t="s">
        <v>2331</v>
      </c>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9"/>
      <c r="D174" s="1990"/>
      <c r="E174" s="1990"/>
      <c r="F174" s="1990"/>
      <c r="G174" s="1990"/>
      <c r="H174" s="1990"/>
      <c r="I174" s="2050"/>
      <c r="J174" s="2050"/>
      <c r="K174" s="2050"/>
      <c r="L174" s="2050"/>
      <c r="M174" s="2050"/>
      <c r="N174" s="2051"/>
      <c r="O174" s="1190"/>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9"/>
      <c r="D175" s="1990"/>
      <c r="E175" s="1990"/>
      <c r="F175" s="1990"/>
      <c r="G175" s="1990"/>
      <c r="H175" s="1990"/>
      <c r="I175" s="2050"/>
      <c r="J175" s="2050"/>
      <c r="K175" s="2050"/>
      <c r="L175" s="2050"/>
      <c r="M175" s="2050"/>
      <c r="N175" s="2051"/>
      <c r="O175" s="1190"/>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9"/>
      <c r="D176" s="1990"/>
      <c r="E176" s="1990"/>
      <c r="F176" s="1990"/>
      <c r="G176" s="1990"/>
      <c r="H176" s="1990"/>
      <c r="I176" s="2050"/>
      <c r="J176" s="2050"/>
      <c r="K176" s="2050"/>
      <c r="L176" s="2050"/>
      <c r="M176" s="2050"/>
      <c r="N176" s="2051"/>
      <c r="O176" s="1190"/>
      <c r="P176" s="2044"/>
      <c r="Q176" s="2045"/>
      <c r="R176" s="2045"/>
      <c r="S176" s="2045"/>
      <c r="T176" s="2045"/>
      <c r="U176" s="2045"/>
      <c r="V176" s="2045"/>
      <c r="W176" s="2045"/>
      <c r="X176" s="2045"/>
      <c r="Y176" s="2045"/>
      <c r="Z176" s="2045"/>
      <c r="AA176" s="2045"/>
      <c r="AB176" s="2045"/>
      <c r="AC176" s="2045"/>
      <c r="AD176" s="2045"/>
      <c r="AE176" s="2045"/>
      <c r="AF176" s="2045"/>
      <c r="AG176" s="2045"/>
      <c r="AH176" s="2045"/>
      <c r="AI176" s="2045"/>
      <c r="AJ176" s="2045"/>
      <c r="AK176" s="2045"/>
      <c r="AL176" s="2045"/>
      <c r="AM176" s="2045"/>
      <c r="AN176" s="2045"/>
      <c r="AO176" s="204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9"/>
      <c r="D177" s="1990"/>
      <c r="E177" s="1990"/>
      <c r="F177" s="1990"/>
      <c r="G177" s="1990"/>
      <c r="H177" s="1990"/>
      <c r="I177" s="2050"/>
      <c r="J177" s="2050"/>
      <c r="K177" s="2050"/>
      <c r="L177" s="2050"/>
      <c r="M177" s="2050"/>
      <c r="N177" s="2051"/>
      <c r="O177" s="1190"/>
      <c r="P177" s="2044"/>
      <c r="Q177" s="2045"/>
      <c r="R177" s="2045"/>
      <c r="S177" s="2045"/>
      <c r="T177" s="2045"/>
      <c r="U177" s="2045"/>
      <c r="V177" s="2045"/>
      <c r="W177" s="2045"/>
      <c r="X177" s="2045"/>
      <c r="Y177" s="2045"/>
      <c r="Z177" s="2045"/>
      <c r="AA177" s="2045"/>
      <c r="AB177" s="2045"/>
      <c r="AC177" s="2045"/>
      <c r="AD177" s="2045"/>
      <c r="AE177" s="2045"/>
      <c r="AF177" s="2045"/>
      <c r="AG177" s="2045"/>
      <c r="AH177" s="2045"/>
      <c r="AI177" s="2045"/>
      <c r="AJ177" s="2045"/>
      <c r="AK177" s="2045"/>
      <c r="AL177" s="2045"/>
      <c r="AM177" s="2045"/>
      <c r="AN177" s="2045"/>
      <c r="AO177" s="204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9"/>
      <c r="D178" s="1990"/>
      <c r="E178" s="1990"/>
      <c r="F178" s="1990"/>
      <c r="G178" s="1990"/>
      <c r="H178" s="1990"/>
      <c r="I178" s="2050"/>
      <c r="J178" s="2050"/>
      <c r="K178" s="2050"/>
      <c r="L178" s="2050"/>
      <c r="M178" s="2050"/>
      <c r="N178" s="2051"/>
      <c r="O178" s="1190"/>
      <c r="P178" s="2044"/>
      <c r="Q178" s="2045"/>
      <c r="R178" s="2045"/>
      <c r="S178" s="2045"/>
      <c r="T178" s="2045"/>
      <c r="U178" s="2045"/>
      <c r="V178" s="2045"/>
      <c r="W178" s="2045"/>
      <c r="X178" s="2045"/>
      <c r="Y178" s="2045"/>
      <c r="Z178" s="2045"/>
      <c r="AA178" s="2045"/>
      <c r="AB178" s="2045"/>
      <c r="AC178" s="2045"/>
      <c r="AD178" s="2045"/>
      <c r="AE178" s="2045"/>
      <c r="AF178" s="2045"/>
      <c r="AG178" s="2045"/>
      <c r="AH178" s="2045"/>
      <c r="AI178" s="2045"/>
      <c r="AJ178" s="2045"/>
      <c r="AK178" s="2045"/>
      <c r="AL178" s="2045"/>
      <c r="AM178" s="2045"/>
      <c r="AN178" s="2045"/>
      <c r="AO178" s="204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9"/>
      <c r="D179" s="1990"/>
      <c r="E179" s="1990"/>
      <c r="F179" s="1990"/>
      <c r="G179" s="1990"/>
      <c r="H179" s="1990"/>
      <c r="I179" s="2050"/>
      <c r="J179" s="2050"/>
      <c r="K179" s="2050"/>
      <c r="L179" s="2050"/>
      <c r="M179" s="2050"/>
      <c r="N179" s="2051"/>
      <c r="O179" s="1190"/>
      <c r="P179" s="2044"/>
      <c r="Q179" s="2045"/>
      <c r="R179" s="2045"/>
      <c r="S179" s="2045"/>
      <c r="T179" s="2045"/>
      <c r="U179" s="2045"/>
      <c r="V179" s="2045"/>
      <c r="W179" s="2045"/>
      <c r="X179" s="2045"/>
      <c r="Y179" s="2045"/>
      <c r="Z179" s="2045"/>
      <c r="AA179" s="2045"/>
      <c r="AB179" s="2045"/>
      <c r="AC179" s="2045"/>
      <c r="AD179" s="2045"/>
      <c r="AE179" s="2045"/>
      <c r="AF179" s="2045"/>
      <c r="AG179" s="2045"/>
      <c r="AH179" s="2045"/>
      <c r="AI179" s="2045"/>
      <c r="AJ179" s="2045"/>
      <c r="AK179" s="2045"/>
      <c r="AL179" s="2045"/>
      <c r="AM179" s="2045"/>
      <c r="AN179" s="2045"/>
      <c r="AO179" s="204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2"/>
      <c r="D180" s="2053"/>
      <c r="E180" s="2053"/>
      <c r="F180" s="2053"/>
      <c r="G180" s="2053"/>
      <c r="H180" s="2053"/>
      <c r="I180" s="2054"/>
      <c r="J180" s="2054"/>
      <c r="K180" s="2054"/>
      <c r="L180" s="2054"/>
      <c r="M180" s="2054"/>
      <c r="N180" s="2055"/>
      <c r="O180" s="1190"/>
      <c r="P180" s="2047"/>
      <c r="Q180" s="2048"/>
      <c r="R180" s="2048"/>
      <c r="S180" s="2048"/>
      <c r="T180" s="2048"/>
      <c r="U180" s="2048"/>
      <c r="V180" s="2048"/>
      <c r="W180" s="2048"/>
      <c r="X180" s="2048"/>
      <c r="Y180" s="2048"/>
      <c r="Z180" s="2048"/>
      <c r="AA180" s="2048"/>
      <c r="AB180" s="2048"/>
      <c r="AC180" s="2048"/>
      <c r="AD180" s="2048"/>
      <c r="AE180" s="2048"/>
      <c r="AF180" s="2048"/>
      <c r="AG180" s="2048"/>
      <c r="AH180" s="2048"/>
      <c r="AI180" s="2048"/>
      <c r="AJ180" s="2048"/>
      <c r="AK180" s="2048"/>
      <c r="AL180" s="2048"/>
      <c r="AM180" s="2048"/>
      <c r="AN180" s="2048"/>
      <c r="AO180" s="204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8" t="s">
        <v>2330</v>
      </c>
      <c r="D182" s="2019"/>
      <c r="E182" s="2019"/>
      <c r="F182" s="2019"/>
      <c r="G182" s="2019"/>
      <c r="H182" s="2019"/>
      <c r="I182" s="2019"/>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20"/>
      <c r="AF182" s="1190"/>
      <c r="AG182" s="1190"/>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190"/>
      <c r="B183" s="1190"/>
      <c r="C183" s="2021"/>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3"/>
      <c r="AF183" s="1190"/>
      <c r="AG183" s="1190"/>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c r="A184" s="1190"/>
      <c r="B184" s="1190"/>
      <c r="C184" s="2027" t="s">
        <v>2328</v>
      </c>
      <c r="D184" s="2028"/>
      <c r="E184" s="2028"/>
      <c r="F184" s="2028"/>
      <c r="G184" s="2028"/>
      <c r="H184" s="2028"/>
      <c r="I184" s="2028"/>
      <c r="J184" s="2028"/>
      <c r="K184" s="2028"/>
      <c r="L184" s="2028"/>
      <c r="M184" s="2028"/>
      <c r="N184" s="2028" t="s">
        <v>2329</v>
      </c>
      <c r="O184" s="2028"/>
      <c r="P184" s="2028"/>
      <c r="Q184" s="2028"/>
      <c r="R184" s="2028"/>
      <c r="S184" s="2028"/>
      <c r="T184" s="2028"/>
      <c r="U184" s="2029" t="s">
        <v>2328</v>
      </c>
      <c r="V184" s="2029"/>
      <c r="W184" s="2029"/>
      <c r="X184" s="2029"/>
      <c r="Y184" s="2029"/>
      <c r="Z184" s="2029"/>
      <c r="AA184" s="2029"/>
      <c r="AB184" s="2029"/>
      <c r="AC184" s="2029"/>
      <c r="AD184" s="2029"/>
      <c r="AE184" s="2030"/>
      <c r="AF184" s="1190"/>
      <c r="AG184" s="1190"/>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3"/>
      <c r="BD184" s="1903"/>
      <c r="BE184" s="1903"/>
    </row>
    <row r="185" spans="1:57" ht="15.75" customHeight="1">
      <c r="A185" s="1190"/>
      <c r="B185" s="1190"/>
      <c r="C185" s="2006" t="s">
        <v>2327</v>
      </c>
      <c r="D185" s="2007"/>
      <c r="E185" s="2007"/>
      <c r="F185" s="2007"/>
      <c r="G185" s="2007"/>
      <c r="H185" s="2007"/>
      <c r="I185" s="2007"/>
      <c r="J185" s="2007"/>
      <c r="K185" s="2007"/>
      <c r="L185" s="2007"/>
      <c r="M185" s="2007"/>
      <c r="N185" s="2017">
        <f>'Sources and Uses Budget'!B105</f>
        <v>26484190</v>
      </c>
      <c r="O185" s="2017"/>
      <c r="P185" s="2017"/>
      <c r="Q185" s="2017"/>
      <c r="R185" s="2017"/>
      <c r="S185" s="2017"/>
      <c r="T185" s="2017"/>
      <c r="U185" s="2031"/>
      <c r="V185" s="2031"/>
      <c r="W185" s="2031"/>
      <c r="X185" s="2031"/>
      <c r="Y185" s="2031"/>
      <c r="Z185" s="2031"/>
      <c r="AA185" s="2031"/>
      <c r="AB185" s="2031"/>
      <c r="AC185" s="2031"/>
      <c r="AD185" s="2031"/>
      <c r="AE185" s="2032"/>
      <c r="AF185" s="1190"/>
      <c r="AG185" s="1190"/>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3"/>
      <c r="BD185" s="1903"/>
      <c r="BE185" s="1903"/>
    </row>
    <row r="186" spans="1:57" ht="15.75" customHeight="1">
      <c r="A186" s="1190"/>
      <c r="B186" s="1190"/>
      <c r="C186" s="2006" t="s">
        <v>2326</v>
      </c>
      <c r="D186" s="2007"/>
      <c r="E186" s="2007"/>
      <c r="F186" s="2007"/>
      <c r="G186" s="2007"/>
      <c r="H186" s="2007"/>
      <c r="I186" s="2007"/>
      <c r="J186" s="2007"/>
      <c r="K186" s="2007"/>
      <c r="L186" s="2007"/>
      <c r="M186" s="2007"/>
      <c r="N186" s="2017">
        <f>N185/J29</f>
        <v>802551.21212121216</v>
      </c>
      <c r="O186" s="2017"/>
      <c r="P186" s="2017"/>
      <c r="Q186" s="2017"/>
      <c r="R186" s="2017"/>
      <c r="S186" s="2017"/>
      <c r="T186" s="2017"/>
      <c r="U186" s="1228"/>
      <c r="V186" s="1228"/>
      <c r="W186" s="1228"/>
      <c r="X186" s="1228"/>
      <c r="Y186" s="1228"/>
      <c r="Z186" s="1228"/>
      <c r="AA186" s="1228"/>
      <c r="AB186" s="1228"/>
      <c r="AC186" s="1228"/>
      <c r="AD186" s="1228"/>
      <c r="AE186" s="1229"/>
      <c r="AF186" s="1190"/>
      <c r="AG186" s="1190"/>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3"/>
      <c r="BD186" s="1903"/>
      <c r="BE186" s="1903"/>
    </row>
    <row r="187" spans="1:57" ht="15.75" customHeight="1">
      <c r="A187" s="1190"/>
      <c r="B187" s="1190"/>
      <c r="C187" s="2033" t="s">
        <v>2325</v>
      </c>
      <c r="D187" s="2034"/>
      <c r="E187" s="2034"/>
      <c r="F187" s="2034"/>
      <c r="G187" s="2034"/>
      <c r="H187" s="2034"/>
      <c r="I187" s="2034"/>
      <c r="J187" s="2034"/>
      <c r="K187" s="2034"/>
      <c r="L187" s="2034"/>
      <c r="M187" s="2034"/>
      <c r="N187" s="2035">
        <v>0</v>
      </c>
      <c r="O187" s="2035"/>
      <c r="P187" s="2035"/>
      <c r="Q187" s="2035"/>
      <c r="R187" s="2035"/>
      <c r="S187" s="2035"/>
      <c r="T187" s="2035"/>
      <c r="U187" s="1993"/>
      <c r="V187" s="1993"/>
      <c r="W187" s="1993"/>
      <c r="X187" s="1993"/>
      <c r="Y187" s="1993"/>
      <c r="Z187" s="1993"/>
      <c r="AA187" s="1993"/>
      <c r="AB187" s="1993"/>
      <c r="AC187" s="1993"/>
      <c r="AD187" s="1993"/>
      <c r="AE187" s="1994"/>
      <c r="AF187" s="1190"/>
      <c r="AG187" s="1190"/>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3"/>
      <c r="BD187" s="1903"/>
      <c r="BE187" s="1903"/>
    </row>
    <row r="188" spans="1:57" ht="15.75" customHeight="1" thickBot="1">
      <c r="A188" s="1190"/>
      <c r="B188" s="1190"/>
      <c r="C188" s="2006" t="s">
        <v>2324</v>
      </c>
      <c r="D188" s="2007"/>
      <c r="E188" s="2007"/>
      <c r="F188" s="2007"/>
      <c r="G188" s="2007"/>
      <c r="H188" s="2007"/>
      <c r="I188" s="2007"/>
      <c r="J188" s="2007"/>
      <c r="K188" s="2007"/>
      <c r="L188" s="2007"/>
      <c r="M188" s="2007"/>
      <c r="N188" s="2036">
        <f>SUM('Sources and Uses Budget'!B85:B86)</f>
        <v>2397500</v>
      </c>
      <c r="O188" s="2036"/>
      <c r="P188" s="2036"/>
      <c r="Q188" s="2036"/>
      <c r="R188" s="2036"/>
      <c r="S188" s="2036"/>
      <c r="T188" s="2036"/>
      <c r="U188" s="1993"/>
      <c r="V188" s="1993"/>
      <c r="W188" s="1993"/>
      <c r="X188" s="1993"/>
      <c r="Y188" s="1993"/>
      <c r="Z188" s="1993"/>
      <c r="AA188" s="1993"/>
      <c r="AB188" s="1993"/>
      <c r="AC188" s="1993"/>
      <c r="AD188" s="1993"/>
      <c r="AE188" s="1994"/>
      <c r="AF188" s="1190"/>
      <c r="AG188" s="1190"/>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3"/>
      <c r="BD188" s="1903"/>
      <c r="BE188" s="1903"/>
    </row>
    <row r="189" spans="1:57" ht="15.75" customHeight="1" thickBot="1">
      <c r="A189" s="1190"/>
      <c r="B189" s="1190"/>
      <c r="C189" s="2006" t="s">
        <v>2323</v>
      </c>
      <c r="D189" s="2007"/>
      <c r="E189" s="2007"/>
      <c r="F189" s="2007"/>
      <c r="G189" s="2007"/>
      <c r="H189" s="2007"/>
      <c r="I189" s="2007"/>
      <c r="J189" s="2007"/>
      <c r="K189" s="2007"/>
      <c r="L189" s="2007"/>
      <c r="M189" s="2007"/>
      <c r="N189" s="2036">
        <f>'Sources and Uses Budget'!B8</f>
        <v>254375</v>
      </c>
      <c r="O189" s="2036"/>
      <c r="P189" s="2036"/>
      <c r="Q189" s="2036"/>
      <c r="R189" s="2036"/>
      <c r="S189" s="2036"/>
      <c r="T189" s="2036"/>
      <c r="U189" s="1993"/>
      <c r="V189" s="1993"/>
      <c r="W189" s="1993"/>
      <c r="X189" s="1993"/>
      <c r="Y189" s="1993"/>
      <c r="Z189" s="1993"/>
      <c r="AA189" s="1993"/>
      <c r="AB189" s="1993"/>
      <c r="AC189" s="1993"/>
      <c r="AD189" s="1993"/>
      <c r="AE189" s="1994"/>
      <c r="AF189" s="1190"/>
      <c r="AG189" s="1190"/>
      <c r="AH189" s="2003" t="s">
        <v>2321</v>
      </c>
      <c r="AI189" s="2004"/>
      <c r="AJ189" s="2004"/>
      <c r="AK189" s="2004"/>
      <c r="AL189" s="2004"/>
      <c r="AM189" s="2004"/>
      <c r="AN189" s="2004"/>
      <c r="AO189" s="2004"/>
      <c r="AP189" s="2004"/>
      <c r="AQ189" s="2004"/>
      <c r="AR189" s="2004"/>
      <c r="AS189" s="2004"/>
      <c r="AT189" s="2004"/>
      <c r="AU189" s="2004"/>
      <c r="AV189" s="2004"/>
      <c r="AW189" s="2004"/>
      <c r="AX189" s="2004"/>
      <c r="AY189" s="2004"/>
      <c r="AZ189" s="2004"/>
      <c r="BA189" s="2004"/>
      <c r="BB189" s="2004"/>
      <c r="BC189" s="2004"/>
      <c r="BD189" s="2004"/>
      <c r="BE189" s="2005"/>
    </row>
    <row r="190" spans="1:57" ht="15.75" customHeight="1">
      <c r="A190" s="1190"/>
      <c r="B190" s="1190"/>
      <c r="C190" s="2006" t="s">
        <v>2322</v>
      </c>
      <c r="D190" s="2007"/>
      <c r="E190" s="2007"/>
      <c r="F190" s="2007"/>
      <c r="G190" s="2007"/>
      <c r="H190" s="2007"/>
      <c r="I190" s="2007"/>
      <c r="J190" s="2007"/>
      <c r="K190" s="2007"/>
      <c r="L190" s="2007"/>
      <c r="M190" s="2007"/>
      <c r="N190" s="1992">
        <v>0</v>
      </c>
      <c r="O190" s="1992"/>
      <c r="P190" s="1992"/>
      <c r="Q190" s="1992"/>
      <c r="R190" s="1992"/>
      <c r="S190" s="1992"/>
      <c r="T190" s="1992"/>
      <c r="U190" s="1993"/>
      <c r="V190" s="1993"/>
      <c r="W190" s="1993"/>
      <c r="X190" s="1993"/>
      <c r="Y190" s="1993"/>
      <c r="Z190" s="1993"/>
      <c r="AA190" s="1993"/>
      <c r="AB190" s="1993"/>
      <c r="AC190" s="1993"/>
      <c r="AD190" s="1993"/>
      <c r="AE190" s="1994"/>
      <c r="AF190" s="1190"/>
      <c r="AG190" s="1190"/>
      <c r="AH190" s="2008" t="s">
        <v>2321</v>
      </c>
      <c r="AI190" s="2009"/>
      <c r="AJ190" s="2009"/>
      <c r="AK190" s="2009"/>
      <c r="AL190" s="2009"/>
      <c r="AM190" s="2009"/>
      <c r="AN190" s="2009"/>
      <c r="AO190" s="2009"/>
      <c r="AP190" s="2009"/>
      <c r="AQ190" s="2009"/>
      <c r="AR190" s="2009"/>
      <c r="AS190" s="2009"/>
      <c r="AT190" s="2009"/>
      <c r="AU190" s="2010">
        <v>0</v>
      </c>
      <c r="AV190" s="2010"/>
      <c r="AW190" s="2010"/>
      <c r="AX190" s="2010"/>
      <c r="AY190" s="2010"/>
      <c r="AZ190" s="2010"/>
      <c r="BA190" s="2010"/>
      <c r="BB190" s="2010"/>
      <c r="BC190" s="2011"/>
      <c r="BD190" s="2012"/>
      <c r="BE190" s="2013"/>
    </row>
    <row r="191" spans="1:57" ht="15.75" customHeight="1">
      <c r="A191" s="1190"/>
      <c r="B191" s="1190"/>
      <c r="C191" s="2006" t="s">
        <v>2320</v>
      </c>
      <c r="D191" s="2007"/>
      <c r="E191" s="2007"/>
      <c r="F191" s="2007"/>
      <c r="G191" s="2007"/>
      <c r="H191" s="2007"/>
      <c r="I191" s="2007"/>
      <c r="J191" s="2007"/>
      <c r="K191" s="2007"/>
      <c r="L191" s="2007"/>
      <c r="M191" s="2007"/>
      <c r="N191" s="1992">
        <v>0</v>
      </c>
      <c r="O191" s="1992"/>
      <c r="P191" s="1992"/>
      <c r="Q191" s="1992"/>
      <c r="R191" s="1992"/>
      <c r="S191" s="1992"/>
      <c r="T191" s="1992"/>
      <c r="U191" s="1993"/>
      <c r="V191" s="1993"/>
      <c r="W191" s="1993"/>
      <c r="X191" s="1993"/>
      <c r="Y191" s="1993"/>
      <c r="Z191" s="1993"/>
      <c r="AA191" s="1993"/>
      <c r="AB191" s="1993"/>
      <c r="AC191" s="1993"/>
      <c r="AD191" s="1993"/>
      <c r="AE191" s="1994"/>
      <c r="AF191" s="1190"/>
      <c r="AG191" s="1190"/>
      <c r="AH191" s="2024" t="s">
        <v>2319</v>
      </c>
      <c r="AI191" s="2025"/>
      <c r="AJ191" s="2025"/>
      <c r="AK191" s="2025"/>
      <c r="AL191" s="2025"/>
      <c r="AM191" s="2025"/>
      <c r="AN191" s="2025"/>
      <c r="AO191" s="2025"/>
      <c r="AP191" s="2025"/>
      <c r="AQ191" s="2025"/>
      <c r="AR191" s="2025"/>
      <c r="AS191" s="2025"/>
      <c r="AT191" s="2025"/>
      <c r="AU191" s="2026"/>
      <c r="AV191" s="2026"/>
      <c r="AW191" s="2026"/>
      <c r="AX191" s="2026"/>
      <c r="AY191" s="2026"/>
      <c r="AZ191" s="2026"/>
      <c r="BA191" s="2026"/>
      <c r="BB191" s="2026"/>
      <c r="BC191" s="2014"/>
      <c r="BD191" s="2015"/>
      <c r="BE191" s="2016"/>
    </row>
    <row r="192" spans="1:57" ht="15.75" customHeight="1">
      <c r="A192" s="1190"/>
      <c r="B192" s="1190"/>
      <c r="C192" s="1998" t="s">
        <v>300</v>
      </c>
      <c r="D192" s="1999"/>
      <c r="E192" s="1991" t="s">
        <v>2317</v>
      </c>
      <c r="F192" s="1991"/>
      <c r="G192" s="1991"/>
      <c r="H192" s="1991"/>
      <c r="I192" s="1991"/>
      <c r="J192" s="1991"/>
      <c r="K192" s="1991"/>
      <c r="L192" s="1991"/>
      <c r="M192" s="1991"/>
      <c r="N192" s="1992">
        <v>0</v>
      </c>
      <c r="O192" s="1992"/>
      <c r="P192" s="1992"/>
      <c r="Q192" s="1992"/>
      <c r="R192" s="1992"/>
      <c r="S192" s="1992"/>
      <c r="T192" s="1992"/>
      <c r="U192" s="1993"/>
      <c r="V192" s="1993"/>
      <c r="W192" s="1993"/>
      <c r="X192" s="1993"/>
      <c r="Y192" s="1993"/>
      <c r="Z192" s="1993"/>
      <c r="AA192" s="1993"/>
      <c r="AB192" s="1993"/>
      <c r="AC192" s="1993"/>
      <c r="AD192" s="1993"/>
      <c r="AE192" s="1994"/>
      <c r="AF192" s="1190"/>
      <c r="AG192" s="1190"/>
      <c r="AH192" s="2000" t="s">
        <v>2318</v>
      </c>
      <c r="AI192" s="2001"/>
      <c r="AJ192" s="2001"/>
      <c r="AK192" s="2001"/>
      <c r="AL192" s="2001"/>
      <c r="AM192" s="2001"/>
      <c r="AN192" s="2001"/>
      <c r="AO192" s="2001"/>
      <c r="AP192" s="2001"/>
      <c r="AQ192" s="2001"/>
      <c r="AR192" s="2001"/>
      <c r="AS192" s="2001"/>
      <c r="AT192" s="2001"/>
      <c r="AU192" s="2002">
        <f>SUM(AU190:BB191)</f>
        <v>0</v>
      </c>
      <c r="AV192" s="2002"/>
      <c r="AW192" s="2002"/>
      <c r="AX192" s="2002"/>
      <c r="AY192" s="2002"/>
      <c r="AZ192" s="2002"/>
      <c r="BA192" s="2002"/>
      <c r="BB192" s="2002"/>
      <c r="BC192" s="2014"/>
      <c r="BD192" s="2015"/>
      <c r="BE192" s="2016"/>
    </row>
    <row r="193" spans="1:57" ht="15.75" customHeight="1" thickBot="1">
      <c r="A193" s="1190"/>
      <c r="B193" s="1190"/>
      <c r="C193" s="1989" t="s">
        <v>300</v>
      </c>
      <c r="D193" s="1990"/>
      <c r="E193" s="1991" t="s">
        <v>2317</v>
      </c>
      <c r="F193" s="1991"/>
      <c r="G193" s="1991"/>
      <c r="H193" s="1991"/>
      <c r="I193" s="1991"/>
      <c r="J193" s="1991"/>
      <c r="K193" s="1991"/>
      <c r="L193" s="1991"/>
      <c r="M193" s="1991"/>
      <c r="N193" s="1992">
        <v>0</v>
      </c>
      <c r="O193" s="1992"/>
      <c r="P193" s="1992"/>
      <c r="Q193" s="1992"/>
      <c r="R193" s="1992"/>
      <c r="S193" s="1992"/>
      <c r="T193" s="1992"/>
      <c r="U193" s="1993"/>
      <c r="V193" s="1993"/>
      <c r="W193" s="1993"/>
      <c r="X193" s="1993"/>
      <c r="Y193" s="1993"/>
      <c r="Z193" s="1993"/>
      <c r="AA193" s="1993"/>
      <c r="AB193" s="1993"/>
      <c r="AC193" s="1993"/>
      <c r="AD193" s="1993"/>
      <c r="AE193" s="199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5"/>
      <c r="BD193" s="1996"/>
      <c r="BE193" s="1997"/>
    </row>
    <row r="194" spans="1:57" ht="15.75" customHeight="1" thickBot="1">
      <c r="A194" s="1190"/>
      <c r="B194" s="1190"/>
      <c r="C194" s="1977" t="s">
        <v>300</v>
      </c>
      <c r="D194" s="1978"/>
      <c r="E194" s="1979" t="s">
        <v>2317</v>
      </c>
      <c r="F194" s="1979"/>
      <c r="G194" s="1979"/>
      <c r="H194" s="1979"/>
      <c r="I194" s="1979"/>
      <c r="J194" s="1979"/>
      <c r="K194" s="1979"/>
      <c r="L194" s="1979"/>
      <c r="M194" s="1980"/>
      <c r="N194" s="1981">
        <v>0</v>
      </c>
      <c r="O194" s="1981"/>
      <c r="P194" s="1981"/>
      <c r="Q194" s="1981"/>
      <c r="R194" s="1981"/>
      <c r="S194" s="1981"/>
      <c r="T194" s="1982"/>
      <c r="U194" s="1983"/>
      <c r="V194" s="1984"/>
      <c r="W194" s="1984"/>
      <c r="X194" s="1984"/>
      <c r="Y194" s="1984"/>
      <c r="Z194" s="1984"/>
      <c r="AA194" s="1984"/>
      <c r="AB194" s="1984"/>
      <c r="AC194" s="1984"/>
      <c r="AD194" s="1984"/>
      <c r="AE194" s="1985"/>
      <c r="AF194" s="1190"/>
      <c r="AG194" s="1190"/>
      <c r="AH194" s="1986" t="s">
        <v>2316</v>
      </c>
      <c r="AI194" s="1987"/>
      <c r="AJ194" s="1987"/>
      <c r="AK194" s="1987"/>
      <c r="AL194" s="1987"/>
      <c r="AM194" s="1987"/>
      <c r="AN194" s="1987"/>
      <c r="AO194" s="1987"/>
      <c r="AP194" s="1987"/>
      <c r="AQ194" s="1987"/>
      <c r="AR194" s="1987"/>
      <c r="AS194" s="1987"/>
      <c r="AT194" s="1987"/>
      <c r="AU194" s="1988"/>
      <c r="AV194" s="1988"/>
      <c r="AW194" s="1988"/>
      <c r="AX194" s="1988"/>
      <c r="AY194" s="1988"/>
      <c r="AZ194" s="1988"/>
      <c r="BA194" s="1988"/>
      <c r="BB194" s="1988"/>
      <c r="BC194" s="1171"/>
      <c r="BD194" s="1171"/>
      <c r="BE194" s="1232"/>
    </row>
    <row r="195" spans="1:57" ht="15.75" customHeight="1">
      <c r="A195" s="1190"/>
      <c r="B195" s="1190"/>
      <c r="C195" s="1960" t="s">
        <v>2315</v>
      </c>
      <c r="D195" s="1961"/>
      <c r="E195" s="1961"/>
      <c r="F195" s="1961"/>
      <c r="G195" s="1961"/>
      <c r="H195" s="1961"/>
      <c r="I195" s="1961"/>
      <c r="J195" s="1961"/>
      <c r="K195" s="1961"/>
      <c r="L195" s="1961"/>
      <c r="M195" s="1961"/>
      <c r="N195" s="1962">
        <f>SUM(N187:T194)</f>
        <v>2651875</v>
      </c>
      <c r="O195" s="1962"/>
      <c r="P195" s="1962"/>
      <c r="Q195" s="1962"/>
      <c r="R195" s="1962"/>
      <c r="S195" s="1962"/>
      <c r="T195" s="1963"/>
      <c r="U195" s="1190"/>
      <c r="V195" s="1190"/>
      <c r="W195" s="1190"/>
      <c r="X195" s="1190"/>
      <c r="Y195" s="1190"/>
      <c r="Z195" s="1190"/>
      <c r="AA195" s="1190"/>
      <c r="AB195" s="1190"/>
      <c r="AC195" s="1190"/>
      <c r="AD195" s="1190"/>
      <c r="AE195" s="1190"/>
      <c r="AF195" s="1190"/>
      <c r="AG195" s="1190"/>
      <c r="AH195" s="1964" t="s">
        <v>2314</v>
      </c>
      <c r="AI195" s="1965"/>
      <c r="AJ195" s="1965"/>
      <c r="AK195" s="1965"/>
      <c r="AL195" s="1965"/>
      <c r="AM195" s="1965"/>
      <c r="AN195" s="1965"/>
      <c r="AO195" s="1965"/>
      <c r="AP195" s="1965"/>
      <c r="AQ195" s="1965"/>
      <c r="AR195" s="1965"/>
      <c r="AS195" s="1965"/>
      <c r="AT195" s="1965"/>
      <c r="AU195" s="1965"/>
      <c r="AV195" s="1965"/>
      <c r="AW195" s="1965"/>
      <c r="AX195" s="1965"/>
      <c r="AY195" s="1965"/>
      <c r="AZ195" s="1965"/>
      <c r="BA195" s="1965"/>
      <c r="BB195" s="1965"/>
      <c r="BC195" s="1965"/>
      <c r="BD195" s="1965"/>
      <c r="BE195" s="1966"/>
    </row>
    <row r="196" spans="1:57" ht="15.75" customHeight="1" thickBot="1">
      <c r="A196" s="1190"/>
      <c r="B196" s="1190"/>
      <c r="C196" s="1970" t="s">
        <v>2313</v>
      </c>
      <c r="D196" s="1971"/>
      <c r="E196" s="1971"/>
      <c r="F196" s="1971"/>
      <c r="G196" s="1971"/>
      <c r="H196" s="1971"/>
      <c r="I196" s="1971"/>
      <c r="J196" s="1971"/>
      <c r="K196" s="1971"/>
      <c r="L196" s="1971"/>
      <c r="M196" s="1971"/>
      <c r="N196" s="1972">
        <f>(N185-N195)/J29</f>
        <v>722191.36363636365</v>
      </c>
      <c r="O196" s="1973"/>
      <c r="P196" s="1973"/>
      <c r="Q196" s="1973"/>
      <c r="R196" s="1973"/>
      <c r="S196" s="1973"/>
      <c r="T196" s="1974"/>
      <c r="U196" s="1195"/>
      <c r="V196" s="1190"/>
      <c r="W196" s="1190"/>
      <c r="X196" s="1190"/>
      <c r="Y196" s="1190"/>
      <c r="Z196" s="1190"/>
      <c r="AA196" s="1190"/>
      <c r="AB196" s="1190"/>
      <c r="AC196" s="1190"/>
      <c r="AD196" s="1190"/>
      <c r="AE196" s="1190"/>
      <c r="AF196" s="1190"/>
      <c r="AG196" s="1190"/>
      <c r="AH196" s="1967"/>
      <c r="AI196" s="1968"/>
      <c r="AJ196" s="1968"/>
      <c r="AK196" s="1968"/>
      <c r="AL196" s="1968"/>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5"/>
      <c r="AI197" s="1975"/>
      <c r="AJ197" s="1975"/>
      <c r="AK197" s="1975"/>
      <c r="AL197" s="1975"/>
      <c r="AM197" s="1975"/>
      <c r="AN197" s="1975"/>
      <c r="AO197" s="1975"/>
      <c r="AP197" s="1975"/>
      <c r="AQ197" s="1975"/>
      <c r="AR197" s="1975"/>
      <c r="AS197" s="1976"/>
      <c r="AT197" s="1976"/>
      <c r="AU197" s="1976"/>
      <c r="AV197" s="1976"/>
      <c r="AW197" s="1976"/>
      <c r="AX197" s="1976"/>
      <c r="AY197" s="1976"/>
      <c r="AZ197" s="1976"/>
      <c r="BA197" s="1976"/>
      <c r="BB197" s="1976"/>
      <c r="BC197" s="1976"/>
      <c r="BD197" s="197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5" t="s">
        <v>2312</v>
      </c>
      <c r="D199" s="1956"/>
      <c r="E199" s="1956"/>
      <c r="F199" s="1956"/>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8" t="s">
        <v>2311</v>
      </c>
      <c r="D200" s="1958"/>
      <c r="E200" s="1958"/>
      <c r="F200" s="1958"/>
      <c r="G200" s="1958"/>
      <c r="H200" s="1958"/>
      <c r="I200" s="1958"/>
      <c r="J200" s="1958"/>
      <c r="K200" s="1958"/>
      <c r="L200" s="1958"/>
      <c r="M200" s="1958"/>
      <c r="N200" s="1958"/>
      <c r="O200" s="1959" t="s">
        <v>2310</v>
      </c>
      <c r="P200" s="1959"/>
      <c r="Q200" s="1959"/>
      <c r="R200" s="1959"/>
      <c r="S200" s="1959"/>
      <c r="T200" s="1959"/>
      <c r="U200" s="1959"/>
      <c r="V200" s="1959"/>
      <c r="W200" s="1959"/>
      <c r="X200" s="1959" t="s">
        <v>2309</v>
      </c>
      <c r="Y200" s="1959"/>
      <c r="Z200" s="1959"/>
      <c r="AA200" s="1959"/>
      <c r="AB200" s="1959"/>
      <c r="AC200" s="1959"/>
      <c r="AD200" s="1959"/>
      <c r="AE200" s="19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0" t="s">
        <v>2308</v>
      </c>
      <c r="D201" s="1950"/>
      <c r="E201" s="1950"/>
      <c r="F201" s="1950"/>
      <c r="G201" s="1950"/>
      <c r="H201" s="1950"/>
      <c r="I201" s="1950"/>
      <c r="J201" s="1950"/>
      <c r="K201" s="1950"/>
      <c r="L201" s="1950"/>
      <c r="M201" s="1950"/>
      <c r="N201" s="1950"/>
      <c r="O201" s="1951" t="s">
        <v>2307</v>
      </c>
      <c r="P201" s="1951"/>
      <c r="Q201" s="1951"/>
      <c r="R201" s="1951"/>
      <c r="S201" s="1951"/>
      <c r="T201" s="1951"/>
      <c r="U201" s="1951"/>
      <c r="V201" s="1951"/>
      <c r="W201" s="1951"/>
      <c r="X201" s="1952">
        <v>0.03</v>
      </c>
      <c r="Y201" s="1952"/>
      <c r="Z201" s="1952"/>
      <c r="AA201" s="1952"/>
      <c r="AB201" s="1952"/>
      <c r="AC201" s="1952"/>
      <c r="AD201" s="1952"/>
      <c r="AE201" s="19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0" t="s">
        <v>855</v>
      </c>
      <c r="D202" s="1950"/>
      <c r="E202" s="1950"/>
      <c r="F202" s="1950"/>
      <c r="G202" s="1950"/>
      <c r="H202" s="1950"/>
      <c r="I202" s="1950"/>
      <c r="J202" s="1950"/>
      <c r="K202" s="1950"/>
      <c r="L202" s="1950"/>
      <c r="M202" s="1950"/>
      <c r="N202" s="1950"/>
      <c r="O202" s="1951" t="s">
        <v>2307</v>
      </c>
      <c r="P202" s="1951"/>
      <c r="Q202" s="1951"/>
      <c r="R202" s="1951"/>
      <c r="S202" s="1951"/>
      <c r="T202" s="1951"/>
      <c r="U202" s="1951"/>
      <c r="V202" s="1951"/>
      <c r="W202" s="1951"/>
      <c r="X202" s="1952">
        <v>0.03</v>
      </c>
      <c r="Y202" s="1952"/>
      <c r="Z202" s="1952"/>
      <c r="AA202" s="1952"/>
      <c r="AB202" s="1952"/>
      <c r="AC202" s="1952"/>
      <c r="AD202" s="1952"/>
      <c r="AE202" s="19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0" t="s">
        <v>2306</v>
      </c>
      <c r="D203" s="1950"/>
      <c r="E203" s="1950"/>
      <c r="F203" s="1950"/>
      <c r="G203" s="1950"/>
      <c r="H203" s="1950"/>
      <c r="I203" s="1950"/>
      <c r="J203" s="1950"/>
      <c r="K203" s="1950"/>
      <c r="L203" s="1950"/>
      <c r="M203" s="1950"/>
      <c r="N203" s="1950"/>
      <c r="O203" s="1953">
        <f>SUM(O201:W202)</f>
        <v>0</v>
      </c>
      <c r="P203" s="1954"/>
      <c r="Q203" s="1954"/>
      <c r="R203" s="1954"/>
      <c r="S203" s="1954"/>
      <c r="T203" s="1954"/>
      <c r="U203" s="1954"/>
      <c r="V203" s="1954"/>
      <c r="W203" s="1954"/>
      <c r="X203" s="1954" t="s">
        <v>2305</v>
      </c>
      <c r="Y203" s="1954"/>
      <c r="Z203" s="1954"/>
      <c r="AA203" s="1954"/>
      <c r="AB203" s="1954"/>
      <c r="AC203" s="1954"/>
      <c r="AD203" s="1954"/>
      <c r="AE203" s="19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4" t="s">
        <v>2304</v>
      </c>
      <c r="D204" s="1924"/>
      <c r="E204" s="1924"/>
      <c r="F204" s="1924"/>
      <c r="G204" s="1924"/>
      <c r="H204" s="1924"/>
      <c r="I204" s="1924"/>
      <c r="J204" s="1924"/>
      <c r="K204" s="1924"/>
      <c r="L204" s="1924"/>
      <c r="M204" s="1924"/>
      <c r="N204" s="1924"/>
      <c r="O204" s="1924"/>
      <c r="P204" s="1924"/>
      <c r="Q204" s="1924"/>
      <c r="R204" s="1924"/>
      <c r="S204" s="1924"/>
      <c r="T204" s="1924"/>
      <c r="U204" s="1924"/>
      <c r="V204" s="1924"/>
      <c r="W204" s="1924"/>
      <c r="X204" s="1924"/>
      <c r="Y204" s="1924"/>
      <c r="Z204" s="1924"/>
      <c r="AA204" s="1924"/>
      <c r="AB204" s="1924"/>
      <c r="AC204" s="1924"/>
      <c r="AD204" s="1924"/>
      <c r="AE204" s="192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5" t="s">
        <v>2303</v>
      </c>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8" t="s">
        <v>2302</v>
      </c>
      <c r="D207" s="1929"/>
      <c r="E207" s="1929"/>
      <c r="F207" s="1930"/>
      <c r="G207" s="1934" t="s">
        <v>2301</v>
      </c>
      <c r="H207" s="1929"/>
      <c r="I207" s="1929"/>
      <c r="J207" s="1929"/>
      <c r="K207" s="1929"/>
      <c r="L207" s="1929"/>
      <c r="M207" s="1929"/>
      <c r="N207" s="1929"/>
      <c r="O207" s="1930"/>
      <c r="P207" s="1936" t="s">
        <v>2300</v>
      </c>
      <c r="Q207" s="1937"/>
      <c r="R207" s="1937"/>
      <c r="S207" s="1937"/>
      <c r="T207" s="1938"/>
      <c r="U207" s="1942" t="s">
        <v>2299</v>
      </c>
      <c r="V207" s="1943"/>
      <c r="W207" s="1943"/>
      <c r="X207" s="1944"/>
      <c r="Y207" s="1942" t="s">
        <v>2298</v>
      </c>
      <c r="Z207" s="1943"/>
      <c r="AA207" s="1943"/>
      <c r="AB207" s="1944"/>
      <c r="AC207" s="1942" t="s">
        <v>2297</v>
      </c>
      <c r="AD207" s="1943"/>
      <c r="AE207" s="1943"/>
      <c r="AF207" s="1944"/>
      <c r="AG207" s="1934" t="s">
        <v>2296</v>
      </c>
      <c r="AH207" s="1929"/>
      <c r="AI207" s="1929"/>
      <c r="AJ207" s="1929"/>
      <c r="AK207" s="194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1"/>
      <c r="D208" s="1932"/>
      <c r="E208" s="1932"/>
      <c r="F208" s="1933"/>
      <c r="G208" s="1935"/>
      <c r="H208" s="1932"/>
      <c r="I208" s="1932"/>
      <c r="J208" s="1932"/>
      <c r="K208" s="1932"/>
      <c r="L208" s="1932"/>
      <c r="M208" s="1932"/>
      <c r="N208" s="1932"/>
      <c r="O208" s="1933"/>
      <c r="P208" s="1939"/>
      <c r="Q208" s="1940"/>
      <c r="R208" s="1940"/>
      <c r="S208" s="1940"/>
      <c r="T208" s="1941"/>
      <c r="U208" s="1945"/>
      <c r="V208" s="1946"/>
      <c r="W208" s="1946"/>
      <c r="X208" s="1947"/>
      <c r="Y208" s="1945"/>
      <c r="Z208" s="1946"/>
      <c r="AA208" s="1946"/>
      <c r="AB208" s="1947"/>
      <c r="AC208" s="1945"/>
      <c r="AD208" s="1946"/>
      <c r="AE208" s="1946"/>
      <c r="AF208" s="1947"/>
      <c r="AG208" s="1935"/>
      <c r="AH208" s="1932"/>
      <c r="AI208" s="1932"/>
      <c r="AJ208" s="1932"/>
      <c r="AK208" s="194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7">
        <v>1</v>
      </c>
      <c r="D209" s="1918"/>
      <c r="E209" s="1918"/>
      <c r="F209" s="1918"/>
      <c r="G209" s="1919" t="s">
        <v>1885</v>
      </c>
      <c r="H209" s="1919"/>
      <c r="I209" s="1919"/>
      <c r="J209" s="1919"/>
      <c r="K209" s="1919"/>
      <c r="L209" s="1919"/>
      <c r="M209" s="1919"/>
      <c r="N209" s="1919"/>
      <c r="O209" s="1919"/>
      <c r="P209" s="1920"/>
      <c r="Q209" s="1923"/>
      <c r="R209" s="1923"/>
      <c r="S209" s="1923"/>
      <c r="T209" s="1923"/>
      <c r="U209" s="1921" t="s">
        <v>1885</v>
      </c>
      <c r="V209" s="1921"/>
      <c r="W209" s="1921"/>
      <c r="X209" s="1921"/>
      <c r="Y209" s="1921" t="s">
        <v>1885</v>
      </c>
      <c r="Z209" s="1921"/>
      <c r="AA209" s="1921"/>
      <c r="AB209" s="1921"/>
      <c r="AC209" s="1922" t="s">
        <v>1885</v>
      </c>
      <c r="AD209" s="1922"/>
      <c r="AE209" s="1922"/>
      <c r="AF209" s="1922"/>
      <c r="AG209" s="1906"/>
      <c r="AH209" s="1907"/>
      <c r="AI209" s="1907"/>
      <c r="AJ209" s="1907"/>
      <c r="AK209" s="190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7">
        <v>2</v>
      </c>
      <c r="D210" s="1918"/>
      <c r="E210" s="1918"/>
      <c r="F210" s="1918"/>
      <c r="G210" s="1919" t="s">
        <v>1885</v>
      </c>
      <c r="H210" s="1919"/>
      <c r="I210" s="1919"/>
      <c r="J210" s="1919"/>
      <c r="K210" s="1919"/>
      <c r="L210" s="1919"/>
      <c r="M210" s="1919"/>
      <c r="N210" s="1919"/>
      <c r="O210" s="1919"/>
      <c r="P210" s="1920"/>
      <c r="Q210" s="1920"/>
      <c r="R210" s="1920"/>
      <c r="S210" s="1920"/>
      <c r="T210" s="1920"/>
      <c r="U210" s="1921" t="s">
        <v>1885</v>
      </c>
      <c r="V210" s="1921"/>
      <c r="W210" s="1921"/>
      <c r="X210" s="1921"/>
      <c r="Y210" s="1921" t="s">
        <v>1885</v>
      </c>
      <c r="Z210" s="1921"/>
      <c r="AA210" s="1921"/>
      <c r="AB210" s="1921"/>
      <c r="AC210" s="1922" t="s">
        <v>1885</v>
      </c>
      <c r="AD210" s="1922"/>
      <c r="AE210" s="1922"/>
      <c r="AF210" s="1922"/>
      <c r="AG210" s="1906"/>
      <c r="AH210" s="1907"/>
      <c r="AI210" s="1907"/>
      <c r="AJ210" s="1907"/>
      <c r="AK210" s="190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7">
        <v>3</v>
      </c>
      <c r="D211" s="1918"/>
      <c r="E211" s="1918"/>
      <c r="F211" s="1918"/>
      <c r="G211" s="1919" t="s">
        <v>1885</v>
      </c>
      <c r="H211" s="1919"/>
      <c r="I211" s="1919"/>
      <c r="J211" s="1919"/>
      <c r="K211" s="1919"/>
      <c r="L211" s="1919"/>
      <c r="M211" s="1919"/>
      <c r="N211" s="1919"/>
      <c r="O211" s="1919"/>
      <c r="P211" s="1920"/>
      <c r="Q211" s="1920"/>
      <c r="R211" s="1920"/>
      <c r="S211" s="1920"/>
      <c r="T211" s="1920"/>
      <c r="U211" s="1921" t="s">
        <v>1885</v>
      </c>
      <c r="V211" s="1921"/>
      <c r="W211" s="1921"/>
      <c r="X211" s="1921"/>
      <c r="Y211" s="1921" t="s">
        <v>1885</v>
      </c>
      <c r="Z211" s="1921"/>
      <c r="AA211" s="1921"/>
      <c r="AB211" s="1921"/>
      <c r="AC211" s="1922" t="s">
        <v>1885</v>
      </c>
      <c r="AD211" s="1922"/>
      <c r="AE211" s="1922"/>
      <c r="AF211" s="1922"/>
      <c r="AG211" s="1906"/>
      <c r="AH211" s="1907"/>
      <c r="AI211" s="1907"/>
      <c r="AJ211" s="1907"/>
      <c r="AK211" s="190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7">
        <v>4</v>
      </c>
      <c r="D212" s="1918"/>
      <c r="E212" s="1918"/>
      <c r="F212" s="1918"/>
      <c r="G212" s="1919" t="s">
        <v>1885</v>
      </c>
      <c r="H212" s="1919"/>
      <c r="I212" s="1919"/>
      <c r="J212" s="1919"/>
      <c r="K212" s="1919"/>
      <c r="L212" s="1919"/>
      <c r="M212" s="1919"/>
      <c r="N212" s="1919"/>
      <c r="O212" s="1919"/>
      <c r="P212" s="1920"/>
      <c r="Q212" s="1920"/>
      <c r="R212" s="1920"/>
      <c r="S212" s="1920"/>
      <c r="T212" s="1920"/>
      <c r="U212" s="1921" t="s">
        <v>1885</v>
      </c>
      <c r="V212" s="1921"/>
      <c r="W212" s="1921"/>
      <c r="X212" s="1921"/>
      <c r="Y212" s="1921" t="s">
        <v>1885</v>
      </c>
      <c r="Z212" s="1921"/>
      <c r="AA212" s="1921"/>
      <c r="AB212" s="1921"/>
      <c r="AC212" s="1922" t="s">
        <v>1885</v>
      </c>
      <c r="AD212" s="1922"/>
      <c r="AE212" s="1922"/>
      <c r="AF212" s="1922"/>
      <c r="AG212" s="1906"/>
      <c r="AH212" s="1907"/>
      <c r="AI212" s="1907"/>
      <c r="AJ212" s="1907"/>
      <c r="AK212" s="190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7">
        <v>5</v>
      </c>
      <c r="D213" s="1918"/>
      <c r="E213" s="1918"/>
      <c r="F213" s="1918"/>
      <c r="G213" s="1919" t="s">
        <v>1885</v>
      </c>
      <c r="H213" s="1919"/>
      <c r="I213" s="1919"/>
      <c r="J213" s="1919"/>
      <c r="K213" s="1919"/>
      <c r="L213" s="1919"/>
      <c r="M213" s="1919"/>
      <c r="N213" s="1919"/>
      <c r="O213" s="1919"/>
      <c r="P213" s="1920"/>
      <c r="Q213" s="1920"/>
      <c r="R213" s="1920"/>
      <c r="S213" s="1920"/>
      <c r="T213" s="1920"/>
      <c r="U213" s="1921" t="s">
        <v>1885</v>
      </c>
      <c r="V213" s="1921"/>
      <c r="W213" s="1921"/>
      <c r="X213" s="1921"/>
      <c r="Y213" s="1921" t="s">
        <v>1885</v>
      </c>
      <c r="Z213" s="1921"/>
      <c r="AA213" s="1921"/>
      <c r="AB213" s="1921"/>
      <c r="AC213" s="1922" t="s">
        <v>1885</v>
      </c>
      <c r="AD213" s="1922"/>
      <c r="AE213" s="1922"/>
      <c r="AF213" s="1922"/>
      <c r="AG213" s="1906"/>
      <c r="AH213" s="1907"/>
      <c r="AI213" s="1907"/>
      <c r="AJ213" s="1907"/>
      <c r="AK213" s="190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7">
        <v>6</v>
      </c>
      <c r="D214" s="1918"/>
      <c r="E214" s="1918"/>
      <c r="F214" s="1918"/>
      <c r="G214" s="1919" t="s">
        <v>1885</v>
      </c>
      <c r="H214" s="1919"/>
      <c r="I214" s="1919"/>
      <c r="J214" s="1919"/>
      <c r="K214" s="1919"/>
      <c r="L214" s="1919"/>
      <c r="M214" s="1919"/>
      <c r="N214" s="1919"/>
      <c r="O214" s="1919"/>
      <c r="P214" s="1920"/>
      <c r="Q214" s="1920"/>
      <c r="R214" s="1920"/>
      <c r="S214" s="1920"/>
      <c r="T214" s="1920"/>
      <c r="U214" s="1921"/>
      <c r="V214" s="1921"/>
      <c r="W214" s="1921"/>
      <c r="X214" s="1921"/>
      <c r="Y214" s="1921"/>
      <c r="Z214" s="1921"/>
      <c r="AA214" s="1921"/>
      <c r="AB214" s="1921"/>
      <c r="AC214" s="1922" t="s">
        <v>1885</v>
      </c>
      <c r="AD214" s="1922"/>
      <c r="AE214" s="1922"/>
      <c r="AF214" s="1922"/>
      <c r="AG214" s="1906"/>
      <c r="AH214" s="1907"/>
      <c r="AI214" s="1907"/>
      <c r="AJ214" s="1907"/>
      <c r="AK214" s="190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7">
        <v>7</v>
      </c>
      <c r="D215" s="1918"/>
      <c r="E215" s="1918"/>
      <c r="F215" s="1918"/>
      <c r="G215" s="1919"/>
      <c r="H215" s="1919"/>
      <c r="I215" s="1919"/>
      <c r="J215" s="1919"/>
      <c r="K215" s="1919"/>
      <c r="L215" s="1919"/>
      <c r="M215" s="1919"/>
      <c r="N215" s="1919"/>
      <c r="O215" s="1919"/>
      <c r="P215" s="1920"/>
      <c r="Q215" s="1920"/>
      <c r="R215" s="1920"/>
      <c r="S215" s="1920"/>
      <c r="T215" s="1920"/>
      <c r="U215" s="1921"/>
      <c r="V215" s="1921"/>
      <c r="W215" s="1921"/>
      <c r="X215" s="1921"/>
      <c r="Y215" s="1921"/>
      <c r="Z215" s="1921"/>
      <c r="AA215" s="1921"/>
      <c r="AB215" s="1921"/>
      <c r="AC215" s="1922" t="s">
        <v>1885</v>
      </c>
      <c r="AD215" s="1922"/>
      <c r="AE215" s="1922"/>
      <c r="AF215" s="1922"/>
      <c r="AG215" s="1906"/>
      <c r="AH215" s="1907"/>
      <c r="AI215" s="1907"/>
      <c r="AJ215" s="1907"/>
      <c r="AK215" s="190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9" t="s">
        <v>2295</v>
      </c>
      <c r="D216" s="1910"/>
      <c r="E216" s="1910"/>
      <c r="F216" s="1910"/>
      <c r="G216" s="1910"/>
      <c r="H216" s="1910"/>
      <c r="I216" s="1910"/>
      <c r="J216" s="1910"/>
      <c r="K216" s="1910"/>
      <c r="L216" s="1910"/>
      <c r="M216" s="1910"/>
      <c r="N216" s="1910"/>
      <c r="O216" s="1910"/>
      <c r="P216" s="1911"/>
      <c r="Q216" s="1911"/>
      <c r="R216" s="1911"/>
      <c r="S216" s="1911"/>
      <c r="T216" s="1911"/>
      <c r="U216" s="1912">
        <f>-SUM(U209:U215)</f>
        <v>0</v>
      </c>
      <c r="V216" s="1912"/>
      <c r="W216" s="1912"/>
      <c r="X216" s="1912"/>
      <c r="Y216" s="1912">
        <f>-SUM(Y209:Y215)</f>
        <v>0</v>
      </c>
      <c r="Z216" s="1912"/>
      <c r="AA216" s="1912"/>
      <c r="AB216" s="1912"/>
      <c r="AC216" s="1913">
        <f>-SUM(AC209:AC215)</f>
        <v>0</v>
      </c>
      <c r="AD216" s="1913"/>
      <c r="AE216" s="1913"/>
      <c r="AF216" s="1913"/>
      <c r="AG216" s="1914"/>
      <c r="AH216" s="1915"/>
      <c r="AI216" s="1915"/>
      <c r="AJ216" s="1915"/>
      <c r="AK216" s="19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3" t="s">
        <v>2293</v>
      </c>
      <c r="C221" s="1894"/>
      <c r="D221" s="1894"/>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H221" s="1894"/>
      <c r="AI221" s="1894"/>
      <c r="AJ221" s="1894"/>
      <c r="AK221" s="1894"/>
      <c r="AL221" s="1894"/>
      <c r="AM221" s="1894"/>
      <c r="AN221" s="1894"/>
      <c r="AO221" s="1894"/>
      <c r="AP221" s="1894"/>
      <c r="AQ221" s="1894"/>
      <c r="AR221" s="1894"/>
      <c r="AS221" s="1894"/>
      <c r="AT221" s="1894"/>
      <c r="AU221" s="1894"/>
      <c r="AV221" s="1894"/>
      <c r="AW221" s="1894"/>
      <c r="AX221" s="1894"/>
      <c r="AY221" s="1894"/>
      <c r="AZ221" s="1894"/>
      <c r="BA221" s="1894"/>
      <c r="BB221" s="1894"/>
      <c r="BC221" s="1894"/>
      <c r="BD221" s="1895"/>
      <c r="BE221" s="1194"/>
    </row>
    <row r="222" spans="1:57" ht="15.75" customHeight="1">
      <c r="A222" s="1190"/>
      <c r="B222" s="1896"/>
      <c r="C222" s="1897"/>
      <c r="D222" s="1897"/>
      <c r="E222" s="1897"/>
      <c r="F222" s="1897"/>
      <c r="G222" s="1897"/>
      <c r="H222" s="1897"/>
      <c r="I222" s="1897"/>
      <c r="J222" s="1897"/>
      <c r="K222" s="1897"/>
      <c r="L222" s="1897"/>
      <c r="M222" s="1897"/>
      <c r="N222" s="1897"/>
      <c r="O222" s="1897"/>
      <c r="P222" s="1897"/>
      <c r="Q222" s="1897"/>
      <c r="R222" s="1897"/>
      <c r="S222" s="1897"/>
      <c r="T222" s="1897"/>
      <c r="U222" s="1897"/>
      <c r="V222" s="1897"/>
      <c r="W222" s="1897"/>
      <c r="X222" s="1897"/>
      <c r="Y222" s="1897"/>
      <c r="Z222" s="1897"/>
      <c r="AA222" s="1897"/>
      <c r="AB222" s="1897"/>
      <c r="AC222" s="1897"/>
      <c r="AD222" s="1897"/>
      <c r="AE222" s="1897"/>
      <c r="AF222" s="1897"/>
      <c r="AG222" s="1897"/>
      <c r="AH222" s="1897"/>
      <c r="AI222" s="1897"/>
      <c r="AJ222" s="1897"/>
      <c r="AK222" s="1897"/>
      <c r="AL222" s="1897"/>
      <c r="AM222" s="1897"/>
      <c r="AN222" s="1897"/>
      <c r="AO222" s="1897"/>
      <c r="AP222" s="1897"/>
      <c r="AQ222" s="1897"/>
      <c r="AR222" s="1897"/>
      <c r="AS222" s="1897"/>
      <c r="AT222" s="1897"/>
      <c r="AU222" s="1897"/>
      <c r="AV222" s="1897"/>
      <c r="AW222" s="1897"/>
      <c r="AX222" s="1897"/>
      <c r="AY222" s="1897"/>
      <c r="AZ222" s="1897"/>
      <c r="BA222" s="1897"/>
      <c r="BB222" s="1897"/>
      <c r="BC222" s="1897"/>
      <c r="BD222" s="1898"/>
      <c r="BE222" s="1194"/>
    </row>
    <row r="223" spans="1:57" ht="15.75" customHeight="1">
      <c r="A223" s="1190"/>
      <c r="B223" s="1899" t="s">
        <v>2292</v>
      </c>
      <c r="C223" s="1900"/>
      <c r="D223" s="1900"/>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1900"/>
      <c r="AK223" s="1900"/>
      <c r="AL223" s="1900"/>
      <c r="AM223" s="1900"/>
      <c r="AN223" s="1900"/>
      <c r="AO223" s="1900"/>
      <c r="AP223" s="1900"/>
      <c r="AQ223" s="1900"/>
      <c r="AR223" s="1900"/>
      <c r="AS223" s="1900"/>
      <c r="AT223" s="1900"/>
      <c r="AU223" s="1900"/>
      <c r="AV223" s="1900"/>
      <c r="AW223" s="1900"/>
      <c r="AX223" s="1900"/>
      <c r="AY223" s="1900"/>
      <c r="AZ223" s="1900"/>
      <c r="BA223" s="1900"/>
      <c r="BB223" s="1900"/>
      <c r="BC223" s="1900"/>
      <c r="BD223" s="1901"/>
      <c r="BE223" s="1194"/>
    </row>
    <row r="224" spans="1:57" ht="15.75" customHeight="1">
      <c r="A224" s="1190"/>
      <c r="B224" s="1899" t="s">
        <v>2291</v>
      </c>
      <c r="C224" s="1900"/>
      <c r="D224" s="1900"/>
      <c r="E224" s="1900"/>
      <c r="F224" s="1900"/>
      <c r="G224" s="1900"/>
      <c r="H224" s="1900"/>
      <c r="I224" s="1900"/>
      <c r="J224" s="1900"/>
      <c r="K224" s="1900"/>
      <c r="L224" s="1900"/>
      <c r="M224" s="1900"/>
      <c r="N224" s="1900"/>
      <c r="O224" s="1900"/>
      <c r="P224" s="1900"/>
      <c r="Q224" s="1900"/>
      <c r="R224" s="1900"/>
      <c r="S224" s="1900"/>
      <c r="T224" s="1900"/>
      <c r="U224" s="1900"/>
      <c r="V224" s="1900"/>
      <c r="W224" s="1900"/>
      <c r="X224" s="1900"/>
      <c r="Y224" s="1900"/>
      <c r="Z224" s="1900"/>
      <c r="AA224" s="1900"/>
      <c r="AB224" s="1900"/>
      <c r="AC224" s="1900"/>
      <c r="AD224" s="1900"/>
      <c r="AE224" s="1900"/>
      <c r="AF224" s="1900"/>
      <c r="AG224" s="1900"/>
      <c r="AH224" s="1900"/>
      <c r="AI224" s="1900"/>
      <c r="AJ224" s="1900"/>
      <c r="AK224" s="1900"/>
      <c r="AL224" s="1900"/>
      <c r="AM224" s="1900"/>
      <c r="AN224" s="1900"/>
      <c r="AO224" s="1900"/>
      <c r="AP224" s="1900"/>
      <c r="AQ224" s="1900"/>
      <c r="AR224" s="1900"/>
      <c r="AS224" s="1900"/>
      <c r="AT224" s="1900"/>
      <c r="AU224" s="1900"/>
      <c r="AV224" s="1900"/>
      <c r="AW224" s="1900"/>
      <c r="AX224" s="1900"/>
      <c r="AY224" s="1900"/>
      <c r="AZ224" s="1900"/>
      <c r="BA224" s="1900"/>
      <c r="BB224" s="1900"/>
      <c r="BC224" s="1900"/>
      <c r="BD224" s="19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2" t="s">
        <v>2290</v>
      </c>
      <c r="C226" s="1903"/>
      <c r="D226" s="1903"/>
      <c r="E226" s="1903"/>
      <c r="F226" s="1903"/>
      <c r="G226" s="1903"/>
      <c r="H226" s="1903"/>
      <c r="I226" s="1903"/>
      <c r="J226" s="1903"/>
      <c r="K226" s="1903"/>
      <c r="L226" s="1903"/>
      <c r="M226" s="1903"/>
      <c r="N226" s="1903"/>
      <c r="O226" s="1903"/>
      <c r="P226" s="1903"/>
      <c r="Q226" s="1903"/>
      <c r="R226" s="1903"/>
      <c r="S226" s="1903"/>
      <c r="T226" s="1903"/>
      <c r="U226" s="1903"/>
      <c r="V226" s="1903"/>
      <c r="W226" s="1903"/>
      <c r="X226" s="1903"/>
      <c r="Y226" s="1903"/>
      <c r="Z226" s="1903"/>
      <c r="AA226" s="1903"/>
      <c r="AB226" s="1903"/>
      <c r="AC226" s="1903"/>
      <c r="AD226" s="1903"/>
      <c r="AE226" s="1903"/>
      <c r="AF226" s="1903"/>
      <c r="AG226" s="1903"/>
      <c r="AH226" s="1903"/>
      <c r="AI226" s="1903"/>
      <c r="AJ226" s="1903"/>
      <c r="AK226" s="1903"/>
      <c r="AL226" s="1903"/>
      <c r="AM226" s="1903"/>
      <c r="AN226" s="1903"/>
      <c r="AO226" s="1903"/>
      <c r="AP226" s="1903"/>
      <c r="AQ226" s="1903"/>
      <c r="AR226" s="1903"/>
      <c r="AS226" s="1903"/>
      <c r="AT226" s="1903"/>
      <c r="AU226" s="1903"/>
      <c r="AV226" s="1903"/>
      <c r="AW226" s="1903"/>
      <c r="AX226" s="1903"/>
      <c r="AY226" s="1903"/>
      <c r="AZ226" s="1903"/>
      <c r="BA226" s="1903"/>
      <c r="BB226" s="1903"/>
      <c r="BC226" s="1903"/>
      <c r="BD226" s="19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5" t="s">
        <v>2288</v>
      </c>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8" t="s">
        <v>2287</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888"/>
      <c r="AX232" s="1888"/>
      <c r="AY232" s="1888"/>
      <c r="AZ232" s="1888"/>
      <c r="BA232" s="1190"/>
      <c r="BB232" s="1190"/>
      <c r="BC232" s="1190"/>
      <c r="BD232" s="1194"/>
      <c r="BE232" s="1194"/>
    </row>
    <row r="233" spans="1:57" ht="15.75" customHeight="1">
      <c r="A233" s="1190"/>
      <c r="B233" s="1189"/>
      <c r="C233" s="1190"/>
      <c r="D233" s="1190"/>
      <c r="E233" s="1190"/>
      <c r="F233" s="1190"/>
      <c r="G233" s="1190"/>
      <c r="H233" s="1888"/>
      <c r="I233" s="1888"/>
      <c r="J233" s="1888"/>
      <c r="K233" s="1888"/>
      <c r="L233" s="1888"/>
      <c r="M233" s="1888"/>
      <c r="N233" s="1888"/>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8"/>
      <c r="AM233" s="1888"/>
      <c r="AN233" s="1888"/>
      <c r="AO233" s="1888"/>
      <c r="AP233" s="1888"/>
      <c r="AQ233" s="1888"/>
      <c r="AR233" s="1888"/>
      <c r="AS233" s="1888"/>
      <c r="AT233" s="1888"/>
      <c r="AU233" s="1888"/>
      <c r="AV233" s="1888"/>
      <c r="AW233" s="1888"/>
      <c r="AX233" s="1888"/>
      <c r="AY233" s="1888"/>
      <c r="AZ233" s="1888"/>
      <c r="BA233" s="1190"/>
      <c r="BB233" s="1190"/>
      <c r="BC233" s="1190"/>
      <c r="BD233" s="1194"/>
      <c r="BE233" s="1194"/>
    </row>
    <row r="234" spans="1:57" ht="15.75" customHeight="1">
      <c r="A234" s="1190"/>
      <c r="B234" s="1189"/>
      <c r="C234" s="1190"/>
      <c r="D234" s="1190"/>
      <c r="E234" s="1190"/>
      <c r="F234" s="1190"/>
      <c r="G234" s="1190"/>
      <c r="H234" s="1888"/>
      <c r="I234" s="1888"/>
      <c r="J234" s="1888"/>
      <c r="K234" s="1888"/>
      <c r="L234" s="1888"/>
      <c r="M234" s="1888"/>
      <c r="N234" s="1888"/>
      <c r="O234" s="1888"/>
      <c r="P234" s="1888"/>
      <c r="Q234" s="1888"/>
      <c r="R234" s="1888"/>
      <c r="S234" s="1888"/>
      <c r="T234" s="1888"/>
      <c r="U234" s="1888"/>
      <c r="V234" s="1888"/>
      <c r="W234" s="1888"/>
      <c r="X234" s="1888"/>
      <c r="Y234" s="1888"/>
      <c r="Z234" s="1888"/>
      <c r="AA234" s="1888"/>
      <c r="AB234" s="1888"/>
      <c r="AC234" s="1888"/>
      <c r="AD234" s="1888"/>
      <c r="AE234" s="1888"/>
      <c r="AF234" s="1888"/>
      <c r="AG234" s="1888"/>
      <c r="AH234" s="1888"/>
      <c r="AI234" s="1888"/>
      <c r="AJ234" s="1888"/>
      <c r="AK234" s="1888"/>
      <c r="AL234" s="1888"/>
      <c r="AM234" s="1888"/>
      <c r="AN234" s="1888"/>
      <c r="AO234" s="1888"/>
      <c r="AP234" s="1888"/>
      <c r="AQ234" s="1888"/>
      <c r="AR234" s="1888"/>
      <c r="AS234" s="1888"/>
      <c r="AT234" s="1888"/>
      <c r="AU234" s="1888"/>
      <c r="AV234" s="1888"/>
      <c r="AW234" s="1888"/>
      <c r="AX234" s="1888"/>
      <c r="AY234" s="1888"/>
      <c r="AZ234" s="1888"/>
      <c r="BA234" s="1190"/>
      <c r="BB234" s="1190"/>
      <c r="BC234" s="1190"/>
      <c r="BD234" s="1194"/>
      <c r="BE234" s="1194"/>
    </row>
    <row r="235" spans="1:57" ht="15.75" customHeight="1">
      <c r="A235" s="1190"/>
      <c r="B235" s="1189"/>
      <c r="C235" s="1190"/>
      <c r="D235" s="1190"/>
      <c r="E235" s="1190"/>
      <c r="F235" s="1190"/>
      <c r="G235" s="1190"/>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8"/>
      <c r="AE235" s="1888"/>
      <c r="AF235" s="1888"/>
      <c r="AG235" s="1888"/>
      <c r="AH235" s="1888"/>
      <c r="AI235" s="1888"/>
      <c r="AJ235" s="1888"/>
      <c r="AK235" s="1888"/>
      <c r="AL235" s="1888"/>
      <c r="AM235" s="1888"/>
      <c r="AN235" s="1888"/>
      <c r="AO235" s="1888"/>
      <c r="AP235" s="1888"/>
      <c r="AQ235" s="1888"/>
      <c r="AR235" s="1888"/>
      <c r="AS235" s="1888"/>
      <c r="AT235" s="1888"/>
      <c r="AU235" s="1888"/>
      <c r="AV235" s="1888"/>
      <c r="AW235" s="1888"/>
      <c r="AX235" s="1888"/>
      <c r="AY235" s="1888"/>
      <c r="AZ235" s="188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9" t="s">
        <v>2286</v>
      </c>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c r="AF237" s="1889"/>
      <c r="AG237" s="1889"/>
      <c r="AH237" s="1889"/>
      <c r="AI237" s="1889"/>
      <c r="AJ237" s="1889"/>
      <c r="AK237" s="1889"/>
      <c r="AL237" s="1889"/>
      <c r="AM237" s="1889"/>
      <c r="AN237" s="1889"/>
      <c r="AO237" s="1889"/>
      <c r="AP237" s="1889"/>
      <c r="AQ237" s="1889"/>
      <c r="AR237" s="1889"/>
      <c r="AS237" s="1889"/>
      <c r="AT237" s="1889"/>
      <c r="AU237" s="1889"/>
      <c r="AV237" s="188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9" t="s">
        <v>2285</v>
      </c>
      <c r="I239" s="1879"/>
      <c r="J239" s="1879"/>
      <c r="K239" s="1879"/>
      <c r="L239" s="1239"/>
      <c r="M239" s="1239"/>
      <c r="N239" s="1239"/>
      <c r="O239" s="1239"/>
      <c r="P239" s="1239"/>
      <c r="Q239" s="1239"/>
      <c r="R239" s="1239"/>
      <c r="S239" s="1890"/>
      <c r="T239" s="1891"/>
      <c r="U239" s="1891"/>
      <c r="V239" s="1891"/>
      <c r="W239" s="1891"/>
      <c r="X239" s="1891"/>
      <c r="Y239" s="1891"/>
      <c r="Z239" s="1891"/>
      <c r="AA239" s="1891"/>
      <c r="AB239" s="1891"/>
      <c r="AC239" s="1891"/>
      <c r="AD239" s="1891"/>
      <c r="AE239" s="1891"/>
      <c r="AF239" s="1891"/>
      <c r="AG239" s="1891"/>
      <c r="AH239" s="1891"/>
      <c r="AI239" s="1891"/>
      <c r="AJ239" s="189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9" t="s">
        <v>2284</v>
      </c>
      <c r="I241" s="1879"/>
      <c r="J241" s="1879"/>
      <c r="K241" s="1241"/>
      <c r="L241" s="1239"/>
      <c r="M241" s="1239"/>
      <c r="N241" s="1239"/>
      <c r="O241" s="1239"/>
      <c r="P241" s="1239"/>
      <c r="Q241" s="1239"/>
      <c r="R241" s="1239"/>
      <c r="S241" s="1880"/>
      <c r="T241" s="1881"/>
      <c r="U241" s="1881"/>
      <c r="V241" s="1881"/>
      <c r="W241" s="1881"/>
      <c r="X241" s="1881"/>
      <c r="Y241" s="1881"/>
      <c r="Z241" s="1881"/>
      <c r="AA241" s="1881"/>
      <c r="AB241" s="1881"/>
      <c r="AC241" s="1881"/>
      <c r="AD241" s="1881"/>
      <c r="AE241" s="1881"/>
      <c r="AF241" s="1881"/>
      <c r="AG241" s="1881"/>
      <c r="AH241" s="1881"/>
      <c r="AI241" s="1881"/>
      <c r="AJ241" s="188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9" t="s">
        <v>442</v>
      </c>
      <c r="I243" s="1879"/>
      <c r="J243" s="1241"/>
      <c r="K243" s="1241"/>
      <c r="L243" s="1239"/>
      <c r="M243" s="1239"/>
      <c r="N243" s="1239"/>
      <c r="O243" s="1239"/>
      <c r="P243" s="1239"/>
      <c r="Q243" s="1239"/>
      <c r="R243" s="1239"/>
      <c r="S243" s="1880"/>
      <c r="T243" s="1881"/>
      <c r="U243" s="1881"/>
      <c r="V243" s="1881"/>
      <c r="W243" s="1881"/>
      <c r="X243" s="1881"/>
      <c r="Y243" s="1881"/>
      <c r="Z243" s="1881"/>
      <c r="AA243" s="1881"/>
      <c r="AB243" s="1881"/>
      <c r="AC243" s="1881"/>
      <c r="AD243" s="1881"/>
      <c r="AE243" s="1881"/>
      <c r="AF243" s="1881"/>
      <c r="AG243" s="1881"/>
      <c r="AH243" s="1881"/>
      <c r="AI243" s="1881"/>
      <c r="AJ243" s="188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3" t="s">
        <v>2283</v>
      </c>
      <c r="I245" s="1883"/>
      <c r="J245" s="1883"/>
      <c r="K245" s="1883"/>
      <c r="L245" s="1883"/>
      <c r="M245" s="1883"/>
      <c r="N245" s="1883"/>
      <c r="O245" s="1883"/>
      <c r="P245" s="1239"/>
      <c r="Q245" s="1239"/>
      <c r="R245" s="1239"/>
      <c r="S245" s="1880"/>
      <c r="T245" s="1881"/>
      <c r="U245" s="1881"/>
      <c r="V245" s="1881"/>
      <c r="W245" s="1881"/>
      <c r="X245" s="1881"/>
      <c r="Y245" s="1881"/>
      <c r="Z245" s="1881"/>
      <c r="AA245" s="1881"/>
      <c r="AB245" s="1881"/>
      <c r="AC245" s="1881"/>
      <c r="AD245" s="1881"/>
      <c r="AE245" s="1881"/>
      <c r="AF245" s="1881"/>
      <c r="AG245" s="1881"/>
      <c r="AH245" s="1881"/>
      <c r="AI245" s="1881"/>
      <c r="AJ245" s="188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4" t="s">
        <v>2282</v>
      </c>
      <c r="I247" s="1884"/>
      <c r="J247" s="1239"/>
      <c r="K247" s="1239"/>
      <c r="L247" s="1239"/>
      <c r="M247" s="1239"/>
      <c r="N247" s="1239"/>
      <c r="O247" s="1239"/>
      <c r="P247" s="1239"/>
      <c r="Q247" s="1239"/>
      <c r="R247" s="1239"/>
      <c r="S247" s="1885"/>
      <c r="T247" s="1886"/>
      <c r="U247" s="1886"/>
      <c r="V247" s="1886"/>
      <c r="W247" s="1886"/>
      <c r="X247" s="1886"/>
      <c r="Y247" s="1886"/>
      <c r="Z247" s="1886"/>
      <c r="AA247" s="1886"/>
      <c r="AB247" s="1886"/>
      <c r="AC247" s="1886"/>
      <c r="AD247" s="1886"/>
      <c r="AE247" s="1886"/>
      <c r="AF247" s="1886"/>
      <c r="AG247" s="1886"/>
      <c r="AH247" s="1886"/>
      <c r="AI247" s="1886"/>
      <c r="AJ247" s="188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0" zoomScale="190" zoomScaleNormal="190" workbookViewId="0">
      <selection activeCell="AB72" sqref="AB72:AF72"/>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7" t="s">
        <v>1281</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1239</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NON-DDA/
NON-QCT Building(s)</v>
      </c>
      <c r="U7" s="2357"/>
      <c r="V7" s="2357"/>
      <c r="W7" s="2357"/>
      <c r="X7" s="2357"/>
      <c r="Y7" s="2357" t="str">
        <f>IF(T25=100%,"",'Sources and Basis Breakdown'!G2)</f>
        <v/>
      </c>
      <c r="Z7" s="2357"/>
      <c r="AA7" s="2357"/>
      <c r="AB7" s="2357"/>
      <c r="AC7" s="2357"/>
      <c r="AD7" s="2357" t="str">
        <f xml:space="preserve"> IF(T25=100%, 'Sources and Basis Breakdown'!J2,'Sources and Basis Breakdown'!I2)</f>
        <v>30% PVC for Acquisition
NON-DDA/
NON-QCT Building(s)</v>
      </c>
      <c r="AE7" s="2357"/>
      <c r="AF7" s="2357"/>
      <c r="AG7" s="2357"/>
      <c r="AH7" s="2357"/>
      <c r="AI7" s="2357" t="str">
        <f>IF(T25=100%,"",'Sources and Basis Breakdown'!J2)</f>
        <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375</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25015800</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498</v>
      </c>
      <c r="C12" s="1308"/>
      <c r="D12" s="1308"/>
      <c r="E12" s="1308"/>
      <c r="F12" s="1308"/>
      <c r="G12" s="1308"/>
      <c r="H12" s="1308"/>
      <c r="I12" s="1308"/>
      <c r="J12" s="1308"/>
      <c r="K12" s="1308"/>
      <c r="L12" s="1308"/>
      <c r="M12" s="1308"/>
      <c r="N12" s="1308"/>
      <c r="O12" s="1308"/>
      <c r="P12" s="1308"/>
      <c r="Q12" s="1308"/>
      <c r="R12" s="1308"/>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499</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500</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501</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806</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502</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50"/>
      <c r="C18" s="1564" t="s">
        <v>961</v>
      </c>
      <c r="D18" s="1564"/>
      <c r="E18" s="1564"/>
      <c r="F18" s="1564"/>
      <c r="G18" s="1564"/>
      <c r="H18" s="1564"/>
      <c r="I18" s="1564"/>
      <c r="J18" s="1564"/>
      <c r="K18" s="1564"/>
      <c r="L18" s="1564"/>
      <c r="M18" s="1564"/>
      <c r="N18" s="1564"/>
      <c r="O18" s="1564"/>
      <c r="P18" s="1564"/>
      <c r="Q18" s="1564"/>
      <c r="R18" s="1564"/>
      <c r="S18" s="1565"/>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50"/>
      <c r="C19" s="1564" t="s">
        <v>961</v>
      </c>
      <c r="D19" s="1564"/>
      <c r="E19" s="1564"/>
      <c r="F19" s="1564"/>
      <c r="G19" s="1564"/>
      <c r="H19" s="1564"/>
      <c r="I19" s="1564"/>
      <c r="J19" s="1564"/>
      <c r="K19" s="1564"/>
      <c r="L19" s="1564"/>
      <c r="M19" s="1564"/>
      <c r="N19" s="1564"/>
      <c r="O19" s="1564"/>
      <c r="P19" s="1564"/>
      <c r="Q19" s="1564"/>
      <c r="R19" s="1564"/>
      <c r="S19" s="1565"/>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503</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1264</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5" customHeight="1">
      <c r="B22" s="2343" t="s">
        <v>504</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505</v>
      </c>
      <c r="C23" s="2344"/>
      <c r="D23" s="2344"/>
      <c r="E23" s="2344"/>
      <c r="F23" s="2344"/>
      <c r="G23" s="2344"/>
      <c r="H23" s="2344"/>
      <c r="I23" s="2344"/>
      <c r="J23" s="2344"/>
      <c r="K23" s="2344"/>
      <c r="L23" s="2344"/>
      <c r="M23" s="2344"/>
      <c r="N23" s="2344"/>
      <c r="O23" s="2344"/>
      <c r="P23" s="2344"/>
      <c r="Q23" s="2344"/>
      <c r="R23" s="2344"/>
      <c r="S23" s="2345"/>
      <c r="T23" s="2356">
        <f>T11+T22</f>
        <v>25015800</v>
      </c>
      <c r="U23" s="2337"/>
      <c r="V23" s="2337"/>
      <c r="W23" s="2337"/>
      <c r="X23" s="2337"/>
      <c r="Y23" s="2356">
        <f>Y11+Y22</f>
        <v>0</v>
      </c>
      <c r="Z23" s="2337"/>
      <c r="AA23" s="2337"/>
      <c r="AB23" s="2337"/>
      <c r="AC23" s="2337"/>
      <c r="AD23" s="2356">
        <f>AD11+AD22</f>
        <v>0</v>
      </c>
      <c r="AE23" s="2337"/>
      <c r="AF23" s="2337"/>
      <c r="AG23" s="2337"/>
      <c r="AH23" s="2337"/>
      <c r="AI23" s="2356">
        <f>AI11+AI22</f>
        <v>0</v>
      </c>
      <c r="AJ23" s="2337"/>
      <c r="AK23" s="2337"/>
      <c r="AL23" s="2337"/>
      <c r="AM23" s="2337"/>
    </row>
    <row r="24" spans="1:40" ht="12.95" customHeight="1">
      <c r="B24" s="2343" t="s">
        <v>962</v>
      </c>
      <c r="C24" s="2344"/>
      <c r="D24" s="2344"/>
      <c r="E24" s="2344"/>
      <c r="F24" s="2344"/>
      <c r="G24" s="2344"/>
      <c r="H24" s="2344"/>
      <c r="I24" s="2344"/>
      <c r="J24" s="2344"/>
      <c r="K24" s="2344"/>
      <c r="L24" s="2344"/>
      <c r="M24" s="2344"/>
      <c r="N24" s="2344"/>
      <c r="O24" s="2344"/>
      <c r="P24" s="2344"/>
      <c r="Q24" s="2344"/>
      <c r="R24" s="2344"/>
      <c r="S24" s="2345"/>
      <c r="T24" s="2347">
        <f>Application!AJ1053</f>
        <v>32259530.159999996</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1265</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506</v>
      </c>
      <c r="C26" s="2344"/>
      <c r="D26" s="2344"/>
      <c r="E26" s="2344"/>
      <c r="F26" s="2344"/>
      <c r="G26" s="2344"/>
      <c r="H26" s="2344"/>
      <c r="I26" s="2344"/>
      <c r="J26" s="2344"/>
      <c r="K26" s="2344"/>
      <c r="L26" s="2344"/>
      <c r="M26" s="2344"/>
      <c r="N26" s="2344"/>
      <c r="O26" s="2344"/>
      <c r="P26" s="2344"/>
      <c r="Q26" s="2344"/>
      <c r="R26" s="2344"/>
      <c r="S26" s="2345"/>
      <c r="T26" s="2356">
        <f>T23*T25</f>
        <v>25015800</v>
      </c>
      <c r="U26" s="2337"/>
      <c r="V26" s="2337"/>
      <c r="W26" s="2337"/>
      <c r="X26" s="2337"/>
      <c r="Y26" s="2356">
        <f>Y23*Y25</f>
        <v>0</v>
      </c>
      <c r="Z26" s="2337"/>
      <c r="AA26" s="2337"/>
      <c r="AB26" s="2337"/>
      <c r="AC26" s="2337"/>
      <c r="AD26" s="2356">
        <f>AD23*AD25</f>
        <v>0</v>
      </c>
      <c r="AE26" s="2337"/>
      <c r="AF26" s="2337"/>
      <c r="AG26" s="2337"/>
      <c r="AH26" s="2337"/>
      <c r="AI26" s="2356">
        <f>AI23*AI25</f>
        <v>0</v>
      </c>
      <c r="AJ26" s="2337"/>
      <c r="AK26" s="2337"/>
      <c r="AL26" s="2337"/>
      <c r="AM26" s="2337"/>
    </row>
    <row r="27" spans="1:40" ht="12.95" customHeight="1">
      <c r="A27" s="410"/>
      <c r="B27" s="2390" t="s">
        <v>426</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2.95" customHeight="1">
      <c r="A28" s="404"/>
      <c r="B28" s="2343" t="s">
        <v>507</v>
      </c>
      <c r="C28" s="2344"/>
      <c r="D28" s="2344"/>
      <c r="E28" s="2344"/>
      <c r="F28" s="2344"/>
      <c r="G28" s="2344"/>
      <c r="H28" s="2344"/>
      <c r="I28" s="2344"/>
      <c r="J28" s="2344"/>
      <c r="K28" s="2344"/>
      <c r="L28" s="2344"/>
      <c r="M28" s="2344"/>
      <c r="N28" s="2344"/>
      <c r="O28" s="2344"/>
      <c r="P28" s="2344"/>
      <c r="Q28" s="2344"/>
      <c r="R28" s="2344"/>
      <c r="S28" s="2345"/>
      <c r="T28" s="2356">
        <f>IF(ISERROR((T26*T27)),0,(T26*T27))</f>
        <v>25015800</v>
      </c>
      <c r="U28" s="2337"/>
      <c r="V28" s="2337"/>
      <c r="W28" s="2337"/>
      <c r="X28" s="2337"/>
      <c r="Y28" s="2356">
        <f>IF(ISERROR((Y26*Y27)),0,(Y26*Y27))</f>
        <v>0</v>
      </c>
      <c r="Z28" s="2337"/>
      <c r="AA28" s="2337"/>
      <c r="AB28" s="2337"/>
      <c r="AC28" s="2337"/>
      <c r="AD28" s="2356">
        <f>IF(ISERROR((AD26*AD27)),0,(AD26*AD27))</f>
        <v>0</v>
      </c>
      <c r="AE28" s="2337"/>
      <c r="AF28" s="2337"/>
      <c r="AG28" s="2337"/>
      <c r="AH28" s="2337"/>
      <c r="AI28" s="2356">
        <f>IF(ISERROR((AI26*AI27)),0,(AI26*AI27))</f>
        <v>0</v>
      </c>
      <c r="AJ28" s="2337"/>
      <c r="AK28" s="2337"/>
      <c r="AL28" s="2337"/>
      <c r="AM28" s="2337"/>
    </row>
    <row r="29" spans="1:40" ht="12.95" customHeight="1">
      <c r="B29" s="2343" t="s">
        <v>524</v>
      </c>
      <c r="C29" s="2344"/>
      <c r="D29" s="2344"/>
      <c r="E29" s="2344"/>
      <c r="F29" s="2344"/>
      <c r="G29" s="2344"/>
      <c r="H29" s="2344"/>
      <c r="I29" s="2344"/>
      <c r="J29" s="2344"/>
      <c r="K29" s="2344"/>
      <c r="L29" s="2344"/>
      <c r="M29" s="2344"/>
      <c r="N29" s="2344"/>
      <c r="O29" s="2344"/>
      <c r="P29" s="2344"/>
      <c r="Q29" s="2344"/>
      <c r="R29" s="2344"/>
      <c r="S29" s="2345"/>
      <c r="T29" s="2347">
        <f>T28+Y28+AD28+AI28</f>
        <v>25015800</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1267</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1266</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1155</v>
      </c>
      <c r="Z35" s="2357"/>
      <c r="AA35" s="2357"/>
      <c r="AB35" s="2357"/>
      <c r="AC35" s="2357"/>
      <c r="AD35" s="2358" t="s">
        <v>369</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507</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25015800</v>
      </c>
      <c r="Z38" s="2337"/>
      <c r="AA38" s="2337"/>
      <c r="AB38" s="2337"/>
      <c r="AC38" s="2337"/>
      <c r="AD38" s="2337">
        <f>IF(T24&gt;=(T23+Y23+AD23+AI23),AD28+AI28,0)</f>
        <v>0</v>
      </c>
      <c r="AE38" s="2337"/>
      <c r="AF38" s="2337"/>
      <c r="AG38" s="2337"/>
      <c r="AH38" s="2337"/>
    </row>
    <row r="39" spans="1:76" ht="12.95" customHeight="1">
      <c r="B39" s="2343" t="s">
        <v>1692</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643</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1000632</v>
      </c>
      <c r="Z40" s="2337"/>
      <c r="AA40" s="2337"/>
      <c r="AB40" s="2337"/>
      <c r="AC40" s="2337"/>
      <c r="AD40" s="2356">
        <f>ROUND(AD38*AD39,0)</f>
        <v>0</v>
      </c>
      <c r="AE40" s="2337"/>
      <c r="AF40" s="2337"/>
      <c r="AG40" s="2337"/>
      <c r="AH40" s="2337"/>
    </row>
    <row r="41" spans="1:76" ht="12.95" customHeight="1">
      <c r="B41" s="2343" t="s">
        <v>644</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1000632</v>
      </c>
      <c r="Z41" s="2355"/>
      <c r="AA41" s="2355"/>
      <c r="AB41" s="2355"/>
      <c r="AC41" s="2355"/>
      <c r="AD41" s="2355"/>
      <c r="AE41" s="2355"/>
      <c r="AF41" s="2355"/>
      <c r="AG41" s="2355"/>
      <c r="AH41" s="235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1277</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587</v>
      </c>
      <c r="C46" s="404" t="s">
        <v>282</v>
      </c>
    </row>
    <row r="47" spans="1:76" ht="12.95" customHeight="1">
      <c r="D47" s="404" t="s">
        <v>283</v>
      </c>
      <c r="AB47" s="2351">
        <f>'Sources and Uses Budget'!B105-MAX(IF('Sources and Uses Budget'!B15="",0,'Sources and Uses Budget'!B15),IF(Application!AG394="",0,Application!AG394))</f>
        <v>26484190</v>
      </c>
      <c r="AC47" s="2352"/>
      <c r="AD47" s="2352"/>
      <c r="AE47" s="2352"/>
      <c r="AF47" s="2353"/>
    </row>
    <row r="48" spans="1:76" ht="12.95" customHeight="1">
      <c r="D48" s="404" t="s">
        <v>21</v>
      </c>
      <c r="AB48" s="2351">
        <f>Application!AO639-MAX(IF('Sources and Uses Budget'!B15="",0,'Sources and Uses Budget'!B15),IF(Application!AG394="",0,Application!AG394))</f>
        <v>6994607</v>
      </c>
      <c r="AC48" s="2352"/>
      <c r="AD48" s="2352"/>
      <c r="AE48" s="2352"/>
      <c r="AF48" s="2353"/>
    </row>
    <row r="49" spans="1:76" ht="12.95" customHeight="1">
      <c r="D49" s="404" t="s">
        <v>91</v>
      </c>
      <c r="AB49" s="2351">
        <f>AB47-AB48</f>
        <v>19489583</v>
      </c>
      <c r="AC49" s="2352"/>
      <c r="AD49" s="2352"/>
      <c r="AE49" s="2352"/>
      <c r="AF49" s="2353"/>
    </row>
    <row r="50" spans="1:76" ht="12.95" customHeight="1">
      <c r="D50" s="404" t="s">
        <v>682</v>
      </c>
      <c r="AA50" s="415"/>
      <c r="AB50" s="2339">
        <v>0.81</v>
      </c>
      <c r="AC50" s="2340"/>
      <c r="AD50" s="2340"/>
      <c r="AE50" s="2340"/>
      <c r="AF50" s="2341"/>
    </row>
    <row r="51" spans="1:76" s="417" customFormat="1" ht="12.95" customHeight="1">
      <c r="A51" s="402"/>
      <c r="B51" s="402"/>
      <c r="C51" s="402"/>
      <c r="D51" s="402"/>
      <c r="E51" s="2350" t="s">
        <v>2612</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ROUND(IF(ISERROR((AB49/AB50)),0,(AB49/AB50)),0)</f>
        <v>24061214</v>
      </c>
      <c r="AC54" s="2352"/>
      <c r="AD54" s="2352"/>
      <c r="AE54" s="2352"/>
      <c r="AF54" s="2353"/>
    </row>
    <row r="55" spans="1:76" ht="12.95" customHeight="1">
      <c r="D55" s="404" t="s">
        <v>333</v>
      </c>
      <c r="AB55" s="2351">
        <f>(AB54/10)</f>
        <v>2406121.4</v>
      </c>
      <c r="AC55" s="2352"/>
      <c r="AD55" s="2352"/>
      <c r="AE55" s="2352"/>
      <c r="AF55" s="2353"/>
    </row>
    <row r="56" spans="1:76" ht="12.95" customHeight="1">
      <c r="D56" s="404" t="s">
        <v>757</v>
      </c>
      <c r="AB56" s="2351">
        <f>ROUND((IF((Y41&lt;AB55),Y41,AB55)),0)</f>
        <v>1000632</v>
      </c>
      <c r="AC56" s="2352"/>
      <c r="AD56" s="2352"/>
      <c r="AE56" s="2352"/>
      <c r="AF56" s="2353"/>
    </row>
    <row r="57" spans="1:76" ht="12.95" customHeight="1">
      <c r="D57" s="404" t="s">
        <v>756</v>
      </c>
      <c r="AB57" s="2351">
        <f>ROUND((10*AB56*AB50),0)</f>
        <v>8105119</v>
      </c>
      <c r="AC57" s="2352"/>
      <c r="AD57" s="2352"/>
      <c r="AE57" s="2352"/>
      <c r="AF57" s="2353"/>
    </row>
    <row r="58" spans="1:76" ht="12.95" customHeight="1">
      <c r="D58" s="404"/>
      <c r="AB58" s="423"/>
      <c r="AC58" s="423"/>
      <c r="AD58" s="423"/>
      <c r="AE58" s="423"/>
      <c r="AF58" s="423"/>
    </row>
    <row r="59" spans="1:76" ht="12.95" customHeight="1">
      <c r="D59" s="404" t="s">
        <v>755</v>
      </c>
      <c r="AB59" s="2335">
        <f>AB49-AB57</f>
        <v>11384464</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590</v>
      </c>
      <c r="C63" s="205" t="s">
        <v>1249</v>
      </c>
      <c r="Y63" s="2346" t="s">
        <v>985</v>
      </c>
      <c r="Z63" s="2346"/>
      <c r="AA63" s="2346"/>
      <c r="AB63" s="2346"/>
      <c r="AC63" s="2346"/>
      <c r="AD63" s="2346" t="s">
        <v>369</v>
      </c>
      <c r="AE63" s="2346"/>
      <c r="AF63" s="2346"/>
      <c r="AG63" s="2346"/>
      <c r="AH63" s="2346"/>
    </row>
    <row r="64" spans="1:76" ht="12.95"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25015800</v>
      </c>
      <c r="Z64" s="2348"/>
      <c r="AA64" s="2348"/>
      <c r="AB64" s="2348"/>
      <c r="AC64" s="2349"/>
      <c r="AD64" s="2347">
        <f>IF(AND(OR(Application!D211="At-Risk",Application!D211="At-Risk and Special Needs"),Application!M358="yes"),AD28+AI28,0)</f>
        <v>0</v>
      </c>
      <c r="AE64" s="2348"/>
      <c r="AF64" s="2348"/>
      <c r="AG64" s="2348"/>
      <c r="AH64" s="2349"/>
    </row>
    <row r="65" spans="1:36" ht="12.95"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0.75</v>
      </c>
      <c r="Z67" s="2336"/>
      <c r="AA67" s="2336"/>
      <c r="AB67" s="2336"/>
      <c r="AC67" s="2336"/>
      <c r="AD67" s="2336">
        <f>IF(Application!Z205="15% set-aside with qualifying low value rehab", 0.95,IF(OR(Application!D211="At-Risk",'Points System'!B13="Yes"),0.13,0))</f>
        <v>0</v>
      </c>
      <c r="AE67" s="2336"/>
      <c r="AF67" s="2336"/>
      <c r="AG67" s="2336"/>
      <c r="AH67" s="2336"/>
    </row>
    <row r="68" spans="1:36" ht="12.95" customHeight="1">
      <c r="C68" s="404"/>
      <c r="D68" s="205" t="s">
        <v>2225</v>
      </c>
      <c r="Y68" s="2337">
        <f>ROUND(Y64*Y67,0)</f>
        <v>18761850</v>
      </c>
      <c r="Z68" s="2338"/>
      <c r="AA68" s="2338"/>
      <c r="AB68" s="2338"/>
      <c r="AC68" s="2338"/>
      <c r="AD68" s="2337">
        <f>ROUND(AD64*AD67,0)</f>
        <v>0</v>
      </c>
      <c r="AE68" s="2338"/>
      <c r="AF68" s="2338"/>
      <c r="AG68" s="2338"/>
      <c r="AH68" s="2338"/>
    </row>
    <row r="69" spans="1:36" ht="12.95" customHeight="1">
      <c r="C69" s="404"/>
      <c r="D69" s="205" t="s">
        <v>2226</v>
      </c>
      <c r="Y69" s="2337">
        <f>IF(OR(Application!Z205="State Farmworker Credit",Application!Z205="$500M (Farmworker Housing)"),Y68+AD68,MIN(Y68+AD68,200000*(Application!G753+Application!O777)))</f>
        <v>18761850</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1251</v>
      </c>
      <c r="AB72" s="2339">
        <v>0.88</v>
      </c>
      <c r="AC72" s="2340"/>
      <c r="AD72" s="2340"/>
      <c r="AE72" s="2340"/>
      <c r="AF72" s="2341"/>
    </row>
    <row r="73" spans="1:36" ht="12.95" customHeight="1">
      <c r="A73" s="404"/>
      <c r="C73" s="404"/>
      <c r="D73" s="404"/>
      <c r="E73" s="2342" t="s">
        <v>1252</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1253</v>
      </c>
      <c r="AB77" s="2330">
        <f>ROUND(IF(ISERROR((AB59/AB72)),0,(AB59/AB72)),0)</f>
        <v>12936891</v>
      </c>
      <c r="AC77" s="2330"/>
      <c r="AD77" s="2330"/>
      <c r="AE77" s="2330"/>
      <c r="AF77" s="2330"/>
    </row>
    <row r="78" spans="1:36" ht="12.95" customHeight="1">
      <c r="C78" s="404"/>
      <c r="D78" s="205" t="s">
        <v>1254</v>
      </c>
      <c r="AB78" s="2331">
        <f>ROUNDUP(MIN(Y69,AB77),0)</f>
        <v>12936891</v>
      </c>
      <c r="AC78" s="2332"/>
      <c r="AD78" s="2332"/>
      <c r="AE78" s="2332"/>
      <c r="AF78" s="2333"/>
    </row>
    <row r="79" spans="1:36" ht="12.95" customHeight="1">
      <c r="C79" s="404"/>
      <c r="D79" s="205" t="s">
        <v>1255</v>
      </c>
      <c r="AB79" s="2334">
        <f>AB78*AB72</f>
        <v>11384464.08</v>
      </c>
      <c r="AC79" s="2334"/>
      <c r="AD79" s="2334"/>
      <c r="AE79" s="2334"/>
      <c r="AF79" s="2334"/>
    </row>
    <row r="80" spans="1:36" ht="12.95" customHeight="1">
      <c r="C80" s="404"/>
      <c r="D80" s="404"/>
      <c r="AB80" s="425"/>
      <c r="AC80" s="425"/>
      <c r="AD80" s="425"/>
      <c r="AE80" s="425"/>
      <c r="AF80" s="425"/>
    </row>
    <row r="81" spans="1:78" ht="12.95" customHeight="1">
      <c r="D81" s="404" t="s">
        <v>755</v>
      </c>
      <c r="AB81" s="2335">
        <f>AB49-(AB57+AB79)</f>
        <v>-7.9999998211860657E-2</v>
      </c>
      <c r="AC81" s="2335"/>
      <c r="AD81" s="2335"/>
      <c r="AE81" s="2335"/>
      <c r="AF81" s="2335"/>
    </row>
    <row r="82" spans="1:78" ht="12.95" customHeight="1">
      <c r="F82" s="522"/>
      <c r="J82" s="522" t="str">
        <f>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customHeight="1">
      <c r="A86" s="404"/>
      <c r="C86" s="205"/>
    </row>
    <row r="87" spans="1:78" ht="12.95" customHeight="1">
      <c r="D87" s="205"/>
      <c r="AB87" s="2386"/>
      <c r="AC87" s="2386"/>
      <c r="AD87" s="2386"/>
      <c r="AE87" s="2386"/>
      <c r="AF87" s="2386"/>
    </row>
    <row r="88" spans="1:78" ht="12.95"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02" zoomScale="130" zoomScaleNormal="130" workbookViewId="0">
      <selection activeCell="C409" sqref="C409:D40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8" t="s">
        <v>1301</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1306</v>
      </c>
      <c r="AF7" s="2409"/>
      <c r="AG7" s="2409"/>
      <c r="AH7" s="2409"/>
      <c r="AI7" s="2409"/>
      <c r="AJ7" s="2409"/>
      <c r="AK7" s="240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592</v>
      </c>
      <c r="C13" s="2399"/>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592</v>
      </c>
      <c r="C16" s="2399"/>
      <c r="D16" s="547"/>
      <c r="E16" s="2410" t="s">
        <v>1308</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592</v>
      </c>
      <c r="C22" s="2399"/>
      <c r="D22" s="547"/>
      <c r="E22" s="2435" t="s">
        <v>1311</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592</v>
      </c>
      <c r="C25" s="2399"/>
      <c r="D25" s="547"/>
      <c r="E25" s="2400" t="s">
        <v>2034</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592</v>
      </c>
      <c r="C28" s="2399"/>
      <c r="D28" s="547"/>
      <c r="E28" s="2423" t="s">
        <v>2249</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9" t="s">
        <v>592</v>
      </c>
      <c r="C33" s="2399"/>
      <c r="D33" s="547"/>
      <c r="E33" s="2435" t="s">
        <v>2251</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592</v>
      </c>
      <c r="C36" s="2399"/>
      <c r="D36" s="547"/>
      <c r="E36" s="2400" t="s">
        <v>2252</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9" t="s">
        <v>592</v>
      </c>
      <c r="C40" s="2399"/>
      <c r="D40" s="547"/>
      <c r="E40" s="2400" t="s">
        <v>2250</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9" t="s">
        <v>592</v>
      </c>
      <c r="C45" s="2399"/>
      <c r="D45" s="1142"/>
      <c r="E45" s="2400" t="s">
        <v>2009</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2"/>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592</v>
      </c>
      <c r="C52" s="2399"/>
      <c r="D52" s="540"/>
      <c r="E52" s="2400" t="s">
        <v>2014</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592</v>
      </c>
      <c r="C56" s="2399"/>
      <c r="D56" s="540"/>
      <c r="E56" s="2420" t="s">
        <v>2015</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592</v>
      </c>
      <c r="C58" s="2399"/>
      <c r="D58" s="540"/>
      <c r="E58" s="2400" t="s">
        <v>2016</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32">
        <f>AO39</f>
        <v>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1315</v>
      </c>
      <c r="AF65" s="2409"/>
      <c r="AG65" s="2409"/>
      <c r="AH65" s="2409"/>
      <c r="AI65" s="2409"/>
      <c r="AJ65" s="2409"/>
      <c r="AK65" s="240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592</v>
      </c>
      <c r="C68" s="2399"/>
      <c r="D68" s="547" t="s">
        <v>1316</v>
      </c>
      <c r="E68" s="2410" t="s">
        <v>2017</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10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10</v>
      </c>
      <c r="AP71" s="574" t="s">
        <v>1317</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546</v>
      </c>
      <c r="C74" s="2399"/>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9" t="s">
        <v>592</v>
      </c>
      <c r="F75" s="2399"/>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7" t="s">
        <v>592</v>
      </c>
      <c r="F76" s="2398"/>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7" t="s">
        <v>546</v>
      </c>
      <c r="F77" s="2398"/>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9" t="s">
        <v>546</v>
      </c>
      <c r="F79" s="2399"/>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592</v>
      </c>
      <c r="C81" s="2399"/>
      <c r="D81" s="547" t="s">
        <v>1321</v>
      </c>
      <c r="E81" s="2400" t="s">
        <v>1741</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32">
        <f>IF(AK62&gt;0,0,AO71)</f>
        <v>10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1306</v>
      </c>
      <c r="AF87" s="2409"/>
      <c r="AG87" s="2409"/>
      <c r="AH87" s="2409"/>
      <c r="AI87" s="2409"/>
      <c r="AJ87" s="2409"/>
      <c r="AK87" s="240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592</v>
      </c>
      <c r="C90" s="2399"/>
      <c r="D90" s="547" t="s">
        <v>1316</v>
      </c>
      <c r="E90" s="2410" t="s">
        <v>1326</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Application!AC753</f>
        <v>0.59375</v>
      </c>
      <c r="F93" s="2394"/>
      <c r="G93" s="2394"/>
      <c r="H93" s="2394"/>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0.6-ROUNDUP(E93,2)</f>
        <v>0</v>
      </c>
      <c r="F94" s="2396"/>
      <c r="G94" s="2396"/>
      <c r="H94" s="239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IF(E94*200&gt;20,20,E94*200)</f>
        <v>0</v>
      </c>
      <c r="F95" s="2427"/>
      <c r="G95" s="2427"/>
      <c r="H95" s="242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546</v>
      </c>
      <c r="C98" s="2399"/>
      <c r="D98" s="547" t="s">
        <v>1318</v>
      </c>
      <c r="E98" s="2410" t="s">
        <v>1726</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Application!AC753</f>
        <v>0.59375</v>
      </c>
      <c r="F103" s="2394"/>
      <c r="G103" s="2394"/>
      <c r="H103" s="2394"/>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0.125</v>
      </c>
      <c r="F104" s="2394"/>
      <c r="G104" s="2394"/>
      <c r="H104" s="2394"/>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0.125</v>
      </c>
      <c r="F105" s="2394"/>
      <c r="G105" s="2394"/>
      <c r="H105" s="2394"/>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1315</v>
      </c>
      <c r="AF112" s="2409"/>
      <c r="AG112" s="2409"/>
      <c r="AH112" s="2409"/>
      <c r="AI112" s="2409"/>
      <c r="AJ112" s="2409"/>
      <c r="AK112" s="2409"/>
      <c r="AL112" s="540"/>
      <c r="AM112" s="540"/>
      <c r="AN112" s="535"/>
      <c r="AO112" s="536" t="str">
        <f>Application!B718</f>
        <v>3 Bedrooms</v>
      </c>
      <c r="AQ112" s="536">
        <f>Application!O718</f>
        <v>1158</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3 Bedrooms</v>
      </c>
      <c r="AQ113" s="536">
        <f>Application!O719</f>
        <v>1944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2337</v>
      </c>
    </row>
    <row r="115" spans="1:52" s="536" customFormat="1" ht="12.75" customHeight="1">
      <c r="A115" s="540"/>
      <c r="B115" s="2399" t="s">
        <v>592</v>
      </c>
      <c r="C115" s="2399"/>
      <c r="D115" s="547" t="s">
        <v>1316</v>
      </c>
      <c r="E115" s="2410" t="s">
        <v>1858</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3 Bedrooms</v>
      </c>
      <c r="AQ115" s="536">
        <f>Application!O721</f>
        <v>2610</v>
      </c>
      <c r="AU115" s="536" t="s">
        <v>1841</v>
      </c>
      <c r="AV115" s="595" t="s">
        <v>1842</v>
      </c>
      <c r="AW115" s="536" t="s">
        <v>1843</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f>Application!B725</f>
        <v>0</v>
      </c>
      <c r="AQ119" s="536">
        <f>Application!O725</f>
        <v>0</v>
      </c>
      <c r="AU119" s="856" t="str">
        <f>T124</f>
        <v>3-bedroom</v>
      </c>
      <c r="AV119" s="536">
        <f t="array" ref="AV119">SUM(IF(Application!B718:F752="3 Bedrooms",Application!G718:J752))</f>
        <v>32</v>
      </c>
      <c r="AW119" s="1011">
        <f>AV119/AV122</f>
        <v>1</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f>Application!B728</f>
        <v>0</v>
      </c>
      <c r="AQ122" s="536">
        <f>Application!O728</f>
        <v>0</v>
      </c>
      <c r="AV122" s="536">
        <f>SUM(AV116:AV121)</f>
        <v>32</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93" t="s">
        <v>1589</v>
      </c>
      <c r="F124" s="2394"/>
      <c r="G124" s="2394"/>
      <c r="H124" s="2394"/>
      <c r="I124" s="577"/>
      <c r="J124" s="2394" t="s">
        <v>1632</v>
      </c>
      <c r="K124" s="2394"/>
      <c r="L124" s="2394"/>
      <c r="M124" s="2394"/>
      <c r="N124" s="577"/>
      <c r="O124" s="2394" t="s">
        <v>1633</v>
      </c>
      <c r="P124" s="2394"/>
      <c r="Q124" s="2394"/>
      <c r="R124" s="2394"/>
      <c r="S124" s="577"/>
      <c r="T124" s="2394" t="s">
        <v>1335</v>
      </c>
      <c r="U124" s="2394"/>
      <c r="V124" s="2394"/>
      <c r="W124" s="2394"/>
      <c r="X124" s="577"/>
      <c r="Y124" s="2394" t="s">
        <v>1634</v>
      </c>
      <c r="Z124" s="2394"/>
      <c r="AA124" s="2394"/>
      <c r="AB124" s="2394"/>
      <c r="AC124" s="577"/>
      <c r="AD124" s="2394" t="s">
        <v>1635</v>
      </c>
      <c r="AE124" s="2394"/>
      <c r="AF124" s="2394"/>
      <c r="AG124" s="2394"/>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3"/>
      <c r="F127" s="2454"/>
      <c r="G127" s="2454"/>
      <c r="H127" s="2454"/>
      <c r="I127" s="864"/>
      <c r="J127" s="2454"/>
      <c r="K127" s="2454"/>
      <c r="L127" s="2454"/>
      <c r="M127" s="2454"/>
      <c r="N127" s="864"/>
      <c r="O127" s="2454"/>
      <c r="P127" s="2454"/>
      <c r="Q127" s="2454"/>
      <c r="R127" s="2454"/>
      <c r="S127" s="864"/>
      <c r="T127" s="2454">
        <v>2903</v>
      </c>
      <c r="U127" s="2454"/>
      <c r="V127" s="2454"/>
      <c r="W127" s="2454"/>
      <c r="X127" s="864"/>
      <c r="Y127" s="2454"/>
      <c r="Z127" s="2454"/>
      <c r="AA127" s="2454"/>
      <c r="AB127" s="2454"/>
      <c r="AC127" s="864"/>
      <c r="AD127" s="2454"/>
      <c r="AE127" s="2454"/>
      <c r="AF127" s="2454"/>
      <c r="AG127" s="2454"/>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6">
        <f>Application!DX670</f>
        <v>0</v>
      </c>
      <c r="F130" s="2447"/>
      <c r="G130" s="2447"/>
      <c r="H130" s="2447"/>
      <c r="I130" s="864"/>
      <c r="J130" s="2447">
        <f>Application!EC670</f>
        <v>0</v>
      </c>
      <c r="K130" s="2447"/>
      <c r="L130" s="2447"/>
      <c r="M130" s="2447"/>
      <c r="N130" s="864"/>
      <c r="O130" s="2447">
        <f>Application!EH670</f>
        <v>0</v>
      </c>
      <c r="P130" s="2447"/>
      <c r="Q130" s="2447"/>
      <c r="R130" s="2447"/>
      <c r="S130" s="868"/>
      <c r="T130" s="2447">
        <f>Application!EM670</f>
        <v>2259.9375</v>
      </c>
      <c r="U130" s="2447"/>
      <c r="V130" s="2447"/>
      <c r="W130" s="2447"/>
      <c r="X130" s="868"/>
      <c r="Y130" s="2447">
        <f>Application!ER670</f>
        <v>0</v>
      </c>
      <c r="Z130" s="2447"/>
      <c r="AA130" s="2447"/>
      <c r="AB130" s="2447"/>
      <c r="AC130" s="868"/>
      <c r="AD130" s="2447">
        <f>Application!EW670</f>
        <v>0</v>
      </c>
      <c r="AE130" s="2447"/>
      <c r="AF130" s="2447"/>
      <c r="AG130" s="244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5" t="e">
        <f>(E127-E130)/E127</f>
        <v>#DIV/0!</v>
      </c>
      <c r="F133" s="2396"/>
      <c r="G133" s="2396"/>
      <c r="H133" s="2646"/>
      <c r="I133" s="577"/>
      <c r="J133" s="2645" t="e">
        <f>(J127-J130)/J127</f>
        <v>#DIV/0!</v>
      </c>
      <c r="K133" s="2396"/>
      <c r="L133" s="2396"/>
      <c r="M133" s="2646"/>
      <c r="N133" s="577"/>
      <c r="O133" s="2645" t="e">
        <f>(O127-O130)/O127</f>
        <v>#DIV/0!</v>
      </c>
      <c r="P133" s="2396"/>
      <c r="Q133" s="2396"/>
      <c r="R133" s="2646"/>
      <c r="S133" s="577"/>
      <c r="T133" s="2645">
        <f>(T127-T130)/T127</f>
        <v>0.22151653461935927</v>
      </c>
      <c r="U133" s="2396"/>
      <c r="V133" s="2396"/>
      <c r="W133" s="2646"/>
      <c r="X133" s="577"/>
      <c r="Y133" s="2645" t="e">
        <f>(Y127-Y130)/Y127</f>
        <v>#DIV/0!</v>
      </c>
      <c r="Z133" s="2396"/>
      <c r="AA133" s="2396"/>
      <c r="AB133" s="2646"/>
      <c r="AC133" s="577"/>
      <c r="AD133" s="2645" t="e">
        <f>(AD127-AD130)/AD127</f>
        <v>#DIV/0!</v>
      </c>
      <c r="AE133" s="2396"/>
      <c r="AF133" s="2396"/>
      <c r="AG133" s="2646"/>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8" t="e">
        <f>IF(((E133-0.1)*AW116)&gt;0,((E133-0.1)*AW116),0)</f>
        <v>#DIV/0!</v>
      </c>
      <c r="F136" s="2449"/>
      <c r="G136" s="2449"/>
      <c r="H136" s="2450"/>
      <c r="I136" s="577"/>
      <c r="J136" s="2448" t="e">
        <f>IF(((J133-0.1)*AW117)&gt;0,((J133-0.1)*AW117),0)</f>
        <v>#DIV/0!</v>
      </c>
      <c r="K136" s="2449"/>
      <c r="L136" s="2449"/>
      <c r="M136" s="2450"/>
      <c r="N136" s="577"/>
      <c r="O136" s="2448" t="e">
        <f>IF(((O133-0.1)*AW118)&gt;0,((O133-0.1)*AW118),0)</f>
        <v>#DIV/0!</v>
      </c>
      <c r="P136" s="2449"/>
      <c r="Q136" s="2449"/>
      <c r="R136" s="2450"/>
      <c r="S136" s="577"/>
      <c r="T136" s="2448">
        <f>IF(((T133-0.1)*AW119)&gt;0,((T133-0.1)*AW119),0)</f>
        <v>0.12151653461935927</v>
      </c>
      <c r="U136" s="2449"/>
      <c r="V136" s="2449"/>
      <c r="W136" s="2450"/>
      <c r="X136" s="577"/>
      <c r="Y136" s="2448" t="e">
        <f>IF(((Y133-0.1)*AW120)&gt;0,((Y133-0.1)*AW120),0)</f>
        <v>#DIV/0!</v>
      </c>
      <c r="Z136" s="2449"/>
      <c r="AA136" s="2449"/>
      <c r="AB136" s="2450"/>
      <c r="AC136" s="577"/>
      <c r="AD136" s="2448" t="e">
        <f>IF(((AD133-0.1)*AW121)&gt;0,((AD133-0.1)*AW121),0)</f>
        <v>#DIV/0!</v>
      </c>
      <c r="AE136" s="2449"/>
      <c r="AF136" s="2449"/>
      <c r="AG136" s="245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5">
        <f>ROUNDDOWN(SUMIF(E136:AG136,"&gt;0"),2)</f>
        <v>0.12</v>
      </c>
      <c r="F138" s="2396"/>
      <c r="G138" s="2396"/>
      <c r="H138" s="2646"/>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2">
        <f>IF((E138*100)&gt;10,10,E138*100)</f>
        <v>10</v>
      </c>
      <c r="F139" s="2433"/>
      <c r="G139" s="2433"/>
      <c r="H139" s="2434"/>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32">
        <f>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9" t="s">
        <v>1315</v>
      </c>
      <c r="AF146" s="2409"/>
      <c r="AG146" s="2409"/>
      <c r="AH146" s="2409"/>
      <c r="AI146" s="2409"/>
      <c r="AJ146" s="2409"/>
      <c r="AK146" s="240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1339</v>
      </c>
      <c r="AG148" s="2444"/>
      <c r="AH148" s="2444"/>
      <c r="AI148" s="2444"/>
      <c r="AJ148" s="2444"/>
      <c r="AK148" s="2444"/>
      <c r="AL148" s="2444"/>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t="s">
        <v>2624</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71" t="s">
        <v>1342</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1342</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72" t="s">
        <v>592</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71" t="s">
        <v>1344</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2476</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0"/>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0"/>
      <c r="AM162" s="539"/>
      <c r="AN162" s="535"/>
      <c r="AO162" s="476"/>
      <c r="AP162" s="489"/>
    </row>
    <row r="163" spans="1:42" s="536" customFormat="1" ht="12.75" customHeight="1">
      <c r="C163" s="2535" t="s">
        <v>2477</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0"/>
      <c r="AM163" s="539"/>
      <c r="AN163" s="535"/>
      <c r="AO163" s="476"/>
      <c r="AP163" s="489"/>
    </row>
    <row r="164" spans="1:42" s="536" customFormat="1" ht="12.75" customHeight="1">
      <c r="B164" s="1180"/>
      <c r="C164" s="2470" t="s">
        <v>2475</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0"/>
      <c r="AB164" s="1170"/>
      <c r="AC164" s="1170"/>
      <c r="AD164" s="1170"/>
      <c r="AE164" s="1170"/>
      <c r="AF164" s="1170"/>
      <c r="AG164" s="1170"/>
      <c r="AH164" s="1170"/>
      <c r="AJ164" s="2472" t="s">
        <v>592</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1353</v>
      </c>
      <c r="AG168" s="2444"/>
      <c r="AH168" s="2444"/>
      <c r="AI168" s="2444"/>
      <c r="AJ168" s="2444"/>
      <c r="AK168" s="2444"/>
      <c r="AL168" s="2444"/>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1351</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592</v>
      </c>
      <c r="AG172" s="2472"/>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1" t="s">
        <v>1344</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73" t="str">
        <f>Application!AA335</f>
        <v>WinnResidential California LP</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1315</v>
      </c>
      <c r="AF186" s="2409"/>
      <c r="AG186" s="2409"/>
      <c r="AH186" s="2409"/>
      <c r="AI186" s="2409"/>
      <c r="AJ186" s="2409"/>
      <c r="AK186" s="240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9" t="s">
        <v>1368</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1364</v>
      </c>
      <c r="AG188" s="2444"/>
      <c r="AH188" s="2444"/>
      <c r="AI188" s="2444"/>
      <c r="AJ188" s="2444"/>
      <c r="AK188" s="2444"/>
      <c r="AL188" s="2444"/>
      <c r="AN188" s="597"/>
      <c r="AP188" s="550" t="s">
        <v>1044</v>
      </c>
      <c r="AQ188" s="550">
        <v>10</v>
      </c>
    </row>
    <row r="189" spans="1:73" s="550" customFormat="1" ht="12.75" customHeight="1">
      <c r="A189" s="536"/>
      <c r="B189" s="2470" t="s">
        <v>1727</v>
      </c>
      <c r="C189" s="2470"/>
      <c r="D189" s="2470"/>
      <c r="E189" s="2470"/>
      <c r="F189" s="2470"/>
      <c r="G189" s="2470"/>
      <c r="H189" s="2470"/>
      <c r="I189" s="2470"/>
      <c r="J189" s="2470"/>
      <c r="K189" s="2470"/>
      <c r="L189" s="2470"/>
      <c r="M189" s="2470"/>
      <c r="N189" s="2470"/>
      <c r="O189" s="2470"/>
      <c r="P189" s="2470"/>
      <c r="Q189" s="2470"/>
      <c r="R189" s="2470"/>
      <c r="S189" s="2470"/>
      <c r="T189" s="2445" t="s">
        <v>592</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9">
        <f>IF(AK84&gt;0,VLOOKUP($B$188,AP185:AQ191,2,FALSE),0)</f>
        <v>10</v>
      </c>
      <c r="AL191" s="2480"/>
      <c r="AM191" s="2481"/>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1373</v>
      </c>
      <c r="AF194" s="2409"/>
      <c r="AG194" s="2409"/>
      <c r="AH194" s="2409"/>
      <c r="AI194" s="2409"/>
      <c r="AJ194" s="2409"/>
      <c r="AK194" s="240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t="s">
        <v>2656</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v>3000000</v>
      </c>
      <c r="AE199" s="2457"/>
      <c r="AF199" s="2457"/>
      <c r="AG199" s="2457"/>
      <c r="AH199" s="2457"/>
      <c r="AI199" s="2457"/>
      <c r="AJ199" s="2457"/>
      <c r="AK199" s="610"/>
    </row>
    <row r="200" spans="1:40">
      <c r="A200" s="605"/>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c r="AE200" s="2457"/>
      <c r="AF200" s="2457"/>
      <c r="AG200" s="2457"/>
      <c r="AH200" s="2457"/>
      <c r="AI200" s="2457"/>
      <c r="AJ200" s="2457"/>
      <c r="AK200" s="610"/>
    </row>
    <row r="201" spans="1:40">
      <c r="A201" s="605"/>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c r="AE201" s="2457"/>
      <c r="AF201" s="2457"/>
      <c r="AG201" s="2457"/>
      <c r="AH201" s="2457"/>
      <c r="AI201" s="2457"/>
      <c r="AJ201" s="2457"/>
      <c r="AK201" s="610"/>
    </row>
    <row r="202" spans="1:40">
      <c r="A202" s="605"/>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c r="AE202" s="2457"/>
      <c r="AF202" s="2457"/>
      <c r="AG202" s="2457"/>
      <c r="AH202" s="2457"/>
      <c r="AI202" s="2457"/>
      <c r="AJ202" s="2457"/>
      <c r="AK202" s="610"/>
    </row>
    <row r="203" spans="1:40">
      <c r="A203" s="605"/>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1628</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0</v>
      </c>
      <c r="AE209" s="2486"/>
      <c r="AF209" s="2486"/>
      <c r="AG209" s="2486"/>
      <c r="AH209" s="2486"/>
      <c r="AI209" s="2486"/>
      <c r="AJ209" s="2486"/>
      <c r="AK209" s="610"/>
    </row>
    <row r="210" spans="1:37">
      <c r="A210" s="605"/>
      <c r="B210" s="2613" t="s">
        <v>1591</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1">
        <f>SUM(AD199:AJ209)-AD210</f>
        <v>3000000</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1608</v>
      </c>
      <c r="J222" s="2460"/>
      <c r="K222" s="2460"/>
      <c r="L222" s="536"/>
      <c r="M222" s="536"/>
      <c r="N222" s="536"/>
      <c r="O222" s="536"/>
      <c r="P222" s="536"/>
      <c r="Q222" s="536"/>
      <c r="R222" s="536"/>
      <c r="S222" s="536"/>
      <c r="T222" s="2648" t="s">
        <v>1602</v>
      </c>
      <c r="U222" s="2648"/>
      <c r="V222" s="2648"/>
      <c r="W222" s="2648"/>
      <c r="X222" s="2648"/>
      <c r="Y222" s="2648"/>
      <c r="Z222" s="849"/>
      <c r="AA222" s="489"/>
      <c r="AB222" s="2455" t="s">
        <v>1603</v>
      </c>
      <c r="AC222" s="2455"/>
      <c r="AD222" s="2455"/>
      <c r="AE222" s="2455"/>
      <c r="AF222" s="2455"/>
      <c r="AG222" s="2455"/>
      <c r="AH222" s="827"/>
      <c r="AI222" s="827"/>
      <c r="AJ222" s="827"/>
      <c r="AK222" s="610"/>
    </row>
    <row r="223" spans="1:37">
      <c r="A223" s="605"/>
      <c r="B223" s="2458" t="s">
        <v>1588</v>
      </c>
      <c r="C223" s="2458"/>
      <c r="D223" s="2458"/>
      <c r="E223" s="2458"/>
      <c r="F223" s="2458"/>
      <c r="G223" s="2458"/>
      <c r="I223" s="2459" t="s">
        <v>1609</v>
      </c>
      <c r="J223" s="2459"/>
      <c r="K223" s="2459"/>
      <c r="L223" s="1008"/>
      <c r="N223" s="2465" t="s">
        <v>1604</v>
      </c>
      <c r="O223" s="2465"/>
      <c r="P223" s="2465"/>
      <c r="Q223" s="2465"/>
      <c r="R223" s="2465"/>
      <c r="T223" s="2465" t="s">
        <v>1605</v>
      </c>
      <c r="U223" s="2465"/>
      <c r="V223" s="2465"/>
      <c r="W223" s="2465"/>
      <c r="X223" s="2465"/>
      <c r="Y223" s="2465"/>
      <c r="Z223" s="850"/>
      <c r="AA223" s="489"/>
      <c r="AB223" s="2602" t="s">
        <v>1606</v>
      </c>
      <c r="AC223" s="2602"/>
      <c r="AD223" s="2602"/>
      <c r="AE223" s="2602"/>
      <c r="AF223" s="2602"/>
      <c r="AG223" s="2602"/>
      <c r="AH223" s="827"/>
      <c r="AI223" s="827"/>
      <c r="AJ223" s="827"/>
      <c r="AK223" s="610"/>
    </row>
    <row r="224" spans="1:37">
      <c r="A224" s="605"/>
      <c r="B224" s="2462" t="s">
        <v>1185</v>
      </c>
      <c r="C224" s="2462"/>
      <c r="D224" s="2462"/>
      <c r="E224" s="2462"/>
      <c r="F224" s="2462"/>
      <c r="G224" s="2462"/>
      <c r="H224" s="852"/>
      <c r="I224" s="2461"/>
      <c r="J224" s="2461"/>
      <c r="K224" s="2461"/>
      <c r="L224" s="1008"/>
      <c r="N224" s="2466"/>
      <c r="O224" s="2466"/>
      <c r="P224" s="2466"/>
      <c r="Q224" s="2466"/>
      <c r="R224" s="2466"/>
      <c r="T224" s="2614"/>
      <c r="U224" s="2614"/>
      <c r="V224" s="2614"/>
      <c r="W224" s="2614"/>
      <c r="X224" s="2614"/>
      <c r="Y224" s="2614"/>
      <c r="Z224" s="851"/>
      <c r="AA224" s="851"/>
      <c r="AB224" s="2463">
        <f t="shared" ref="AB224:AB233" si="0">MAX(($T224-$N224)*$I224*12,0)</f>
        <v>0</v>
      </c>
      <c r="AC224" s="2463"/>
      <c r="AD224" s="2463"/>
      <c r="AE224" s="2463"/>
      <c r="AF224" s="2463"/>
      <c r="AG224" s="2463"/>
      <c r="AH224" s="827"/>
      <c r="AI224" s="827"/>
      <c r="AJ224" s="827"/>
      <c r="AK224" s="610"/>
    </row>
    <row r="225" spans="1:37">
      <c r="A225" s="605"/>
      <c r="B225" s="2462" t="s">
        <v>1185</v>
      </c>
      <c r="C225" s="2462"/>
      <c r="D225" s="2462"/>
      <c r="E225" s="2462"/>
      <c r="F225" s="2462"/>
      <c r="G225" s="2462"/>
      <c r="I225" s="2461"/>
      <c r="J225" s="2461"/>
      <c r="K225" s="2461"/>
      <c r="L225" s="1008"/>
      <c r="N225" s="2466"/>
      <c r="O225" s="2466"/>
      <c r="P225" s="2466"/>
      <c r="Q225" s="2466"/>
      <c r="R225" s="2466"/>
      <c r="T225" s="2614"/>
      <c r="U225" s="2614"/>
      <c r="V225" s="2614"/>
      <c r="W225" s="2614"/>
      <c r="X225" s="2614"/>
      <c r="Y225" s="2614"/>
      <c r="Z225" s="851"/>
      <c r="AA225" s="851"/>
      <c r="AB225" s="2463">
        <f t="shared" si="0"/>
        <v>0</v>
      </c>
      <c r="AC225" s="2463"/>
      <c r="AD225" s="2463"/>
      <c r="AE225" s="2463"/>
      <c r="AF225" s="2463"/>
      <c r="AG225" s="2463"/>
      <c r="AH225" s="827"/>
      <c r="AI225" s="827"/>
      <c r="AJ225" s="827"/>
      <c r="AK225" s="610"/>
    </row>
    <row r="226" spans="1:37">
      <c r="A226" s="605"/>
      <c r="B226" s="2462" t="s">
        <v>1185</v>
      </c>
      <c r="C226" s="2462"/>
      <c r="D226" s="2462"/>
      <c r="E226" s="2462"/>
      <c r="F226" s="2462"/>
      <c r="G226" s="2462"/>
      <c r="I226" s="2461"/>
      <c r="J226" s="2461"/>
      <c r="K226" s="2461"/>
      <c r="L226" s="1008"/>
      <c r="N226" s="2466"/>
      <c r="O226" s="2466"/>
      <c r="P226" s="2466"/>
      <c r="Q226" s="2466"/>
      <c r="R226" s="2466"/>
      <c r="T226" s="2614"/>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1185</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1"/>
      <c r="AA227" s="851"/>
      <c r="AB227" s="2463">
        <f t="shared" si="0"/>
        <v>0</v>
      </c>
      <c r="AC227" s="2463"/>
      <c r="AD227" s="2463"/>
      <c r="AE227" s="2463"/>
      <c r="AF227" s="2463"/>
      <c r="AG227" s="2463"/>
      <c r="AH227" s="827"/>
      <c r="AI227" s="827"/>
      <c r="AJ227" s="827"/>
      <c r="AK227" s="610"/>
    </row>
    <row r="228" spans="1:37">
      <c r="A228" s="605"/>
      <c r="B228" s="2462" t="s">
        <v>1185</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1"/>
      <c r="AA228" s="851"/>
      <c r="AB228" s="2463">
        <f t="shared" si="0"/>
        <v>0</v>
      </c>
      <c r="AC228" s="2463"/>
      <c r="AD228" s="2463"/>
      <c r="AE228" s="2463"/>
      <c r="AF228" s="2463"/>
      <c r="AG228" s="2463"/>
      <c r="AH228" s="827"/>
      <c r="AI228" s="827"/>
      <c r="AJ228" s="827"/>
      <c r="AK228" s="610"/>
    </row>
    <row r="229" spans="1:37">
      <c r="A229" s="605"/>
      <c r="B229" s="2462" t="s">
        <v>1185</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1"/>
      <c r="AA229" s="851"/>
      <c r="AB229" s="2463">
        <f t="shared" si="0"/>
        <v>0</v>
      </c>
      <c r="AC229" s="2463"/>
      <c r="AD229" s="2463"/>
      <c r="AE229" s="2463"/>
      <c r="AF229" s="2463"/>
      <c r="AG229" s="2463"/>
      <c r="AH229" s="827"/>
      <c r="AI229" s="827"/>
      <c r="AJ229" s="827"/>
      <c r="AK229" s="610"/>
    </row>
    <row r="230" spans="1:37">
      <c r="A230" s="605"/>
      <c r="B230" s="2462" t="s">
        <v>1185</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1185</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1185</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1185</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63">
        <f>SUM(AB224:AB233)</f>
        <v>0</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c r="AC240" s="2615"/>
      <c r="AD240" s="2615"/>
      <c r="AE240" s="2615"/>
      <c r="AF240" s="2615"/>
      <c r="AG240" s="2615"/>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0</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0</v>
      </c>
      <c r="AC250" s="2463"/>
      <c r="AD250" s="2463"/>
      <c r="AE250" s="2463"/>
      <c r="AF250" s="2463"/>
      <c r="AG250" s="2463"/>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0</v>
      </c>
      <c r="AC252" s="2496"/>
      <c r="AD252" s="2496"/>
      <c r="AE252" s="2496"/>
      <c r="AF252" s="2496"/>
      <c r="AG252" s="2496"/>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0</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0</v>
      </c>
      <c r="AC260" s="2489"/>
      <c r="AD260" s="2489"/>
      <c r="AE260" s="2489"/>
      <c r="AF260" s="2489"/>
      <c r="AG260" s="249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AD211*(1-AB266)</f>
        <v>3000000</v>
      </c>
      <c r="AH268" s="2482"/>
      <c r="AI268" s="2482"/>
      <c r="AJ268" s="2482"/>
      <c r="AK268" s="2482"/>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'Sources and Uses Budget'!C105</f>
        <v>26484190</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ROUNDDOWN(IF(AND(C292="Yes",AK84=10),((AG268*2)/AG269),AG268/AG269),2)</f>
        <v>0.11</v>
      </c>
      <c r="AH270" s="2483"/>
      <c r="AI270" s="2483"/>
      <c r="AJ270" s="2483"/>
      <c r="AK270" s="2483"/>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84">
        <f>IFERROR(IF(AG270=0,0,IF((AG270*100)&gt;8,8,(AG270*100))),0)</f>
        <v>8</v>
      </c>
      <c r="AL273" s="2484"/>
      <c r="AM273" s="248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6" t="s">
        <v>546</v>
      </c>
      <c r="D278" s="2476"/>
      <c r="E278" s="547"/>
      <c r="F278" s="2633" t="s">
        <v>2025</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1364</v>
      </c>
      <c r="AH278" s="2477"/>
      <c r="AI278" s="2477"/>
      <c r="AJ278" s="2477"/>
      <c r="AK278" s="550"/>
      <c r="AL278" s="550"/>
      <c r="AM278" s="550"/>
      <c r="AO278" s="550"/>
    </row>
    <row r="279" spans="1:52" ht="13.7"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7"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84">
        <f>IF($C$278="yes",10,0)</f>
        <v>10</v>
      </c>
      <c r="AL285" s="2484"/>
      <c r="AM285" s="248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1383</v>
      </c>
      <c r="B292" s="1628"/>
      <c r="C292" s="2472" t="s">
        <v>592</v>
      </c>
      <c r="D292" s="2476"/>
      <c r="E292" s="547"/>
      <c r="F292" s="2504" t="s">
        <v>1384</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2018</v>
      </c>
      <c r="AH292" s="2507"/>
      <c r="AI292" s="2507"/>
      <c r="AJ292" s="2507"/>
      <c r="AK292" s="2507"/>
      <c r="AL292" s="550"/>
      <c r="AM292" s="550"/>
      <c r="AN292" s="73"/>
      <c r="AO292" s="14"/>
      <c r="AP292" s="30"/>
      <c r="AS292" s="570"/>
      <c r="AT292" s="570"/>
      <c r="AU292" s="570"/>
      <c r="AV292" s="32"/>
      <c r="AW292" s="32"/>
    </row>
    <row r="293" spans="1:49">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8" t="s">
        <v>2026</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1385</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1386</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1387</v>
      </c>
      <c r="B302" s="1628"/>
      <c r="C302" s="2476" t="s">
        <v>546</v>
      </c>
      <c r="D302" s="2476"/>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406" t="s">
        <v>2020</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1390</v>
      </c>
      <c r="B310" s="1628"/>
      <c r="C310" s="2476" t="s">
        <v>592</v>
      </c>
      <c r="D310" s="2476"/>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98" t="s">
        <v>2027</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1185</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1185</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14" t="s">
        <v>1185</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4" t="s">
        <v>1185</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8" t="s">
        <v>1393</v>
      </c>
      <c r="B333" s="1628"/>
      <c r="C333" s="2476" t="s">
        <v>592</v>
      </c>
      <c r="D333" s="2476"/>
      <c r="E333" s="547"/>
      <c r="F333" s="2400" t="s">
        <v>2028</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9">
        <f>IF(NOT(OR(Application!M355="Yes",Application!M356="Yes")),0,AP295)</f>
        <v>9</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9" t="s">
        <v>1315</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1455</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6"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2093</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2208</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1456</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35"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1.85"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0</v>
      </c>
      <c r="AS357" s="539" t="s">
        <v>1457</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7</v>
      </c>
      <c r="AS359" s="539" t="s">
        <v>1458</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0</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582</v>
      </c>
      <c r="AP361" s="696">
        <f>IF(C407="Yes",5,0)</f>
        <v>0</v>
      </c>
      <c r="AS361" s="539" t="s">
        <v>1879</v>
      </c>
    </row>
    <row r="362" spans="1:46" s="550" customFormat="1" ht="12.75" customHeight="1">
      <c r="A362" s="603"/>
      <c r="B362" s="611"/>
      <c r="C362" s="2540" t="s">
        <v>2232</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3</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764</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585</v>
      </c>
      <c r="AP364" s="696">
        <f>IF(C421="Yes",5,0)</f>
        <v>0</v>
      </c>
    </row>
    <row r="365" spans="1:46" s="550" customFormat="1" ht="11.85"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6"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227</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8" t="s">
        <v>1459</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457</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462</v>
      </c>
      <c r="AP370" s="696">
        <f>IF(C449="Yes",5,0)</f>
        <v>0</v>
      </c>
    </row>
    <row r="371" spans="1:81" s="550" customFormat="1" ht="68.099999999999994"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647</v>
      </c>
      <c r="AP371" s="701">
        <f>IF(C453="Yes",5,0)</f>
        <v>0</v>
      </c>
    </row>
    <row r="372" spans="1:81" s="550" customFormat="1" ht="12.6"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6">
        <f>Application!DU802-U374</f>
        <v>96</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0</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1">
        <f>IF(AP375&gt;0,AP375,0)</f>
        <v>0</v>
      </c>
      <c r="AR375" s="2541"/>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22" t="s">
        <v>1461</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592</v>
      </c>
      <c r="D381" s="2476"/>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1463</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22" t="s">
        <v>1464</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592</v>
      </c>
      <c r="D389" s="2476"/>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1463</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22" t="s">
        <v>1466</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546</v>
      </c>
      <c r="D397" s="2476"/>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1468</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592</v>
      </c>
      <c r="D399" s="2476"/>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1463</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22" t="s">
        <v>1472</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592</v>
      </c>
      <c r="D407" s="2476"/>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1463</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546</v>
      </c>
      <c r="D409" s="2476"/>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1475</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592</v>
      </c>
      <c r="D412" s="2476"/>
      <c r="E412" s="715" t="s">
        <v>1476</v>
      </c>
      <c r="F412" s="2522" t="s">
        <v>1477</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1463</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22" t="s">
        <v>1479</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592</v>
      </c>
      <c r="D421" s="2476"/>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1463</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592</v>
      </c>
      <c r="D423" s="2476"/>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1475</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22" t="s">
        <v>1483</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6"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592</v>
      </c>
      <c r="D430" s="2476"/>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1463</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1485</v>
      </c>
      <c r="F433" s="2522" t="s">
        <v>1486</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592</v>
      </c>
      <c r="D442" s="2476"/>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1463</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22" t="s">
        <v>1489</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592</v>
      </c>
      <c r="D449" s="2476"/>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1463</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592</v>
      </c>
      <c r="D453" s="2526"/>
      <c r="E453" s="715" t="s">
        <v>1498</v>
      </c>
      <c r="F453" s="2522" t="s">
        <v>1499</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1463</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850000000000001"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592</v>
      </c>
      <c r="D457" s="2476"/>
      <c r="E457" s="715" t="s">
        <v>1504</v>
      </c>
      <c r="F457" s="2522" t="s">
        <v>1505</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1463</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22" t="s">
        <v>1508</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592</v>
      </c>
      <c r="D466" s="2476"/>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1463</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20" t="s">
        <v>1512</v>
      </c>
      <c r="AF472" s="2520"/>
      <c r="AG472" s="2520"/>
      <c r="AH472" s="2520"/>
      <c r="AI472" s="2520"/>
      <c r="AJ472" s="2520"/>
      <c r="AK472" s="2520"/>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45" t="s">
        <v>592</v>
      </c>
      <c r="D478" s="2546"/>
      <c r="E478" s="761" t="s">
        <v>508</v>
      </c>
      <c r="F478" s="2547" t="s">
        <v>1518</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21" t="s">
        <v>592</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2" t="s">
        <v>546</v>
      </c>
      <c r="D482" s="2623"/>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20" t="s">
        <v>592</v>
      </c>
      <c r="W485" s="2620"/>
      <c r="X485" s="2620"/>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20" t="s">
        <v>592</v>
      </c>
      <c r="W487" s="2620"/>
      <c r="X487" s="2620"/>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20" t="s">
        <v>592</v>
      </c>
      <c r="W492" s="2620"/>
      <c r="X492" s="2620"/>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0"/>
      <c r="E495" s="2610"/>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20" t="s">
        <v>592</v>
      </c>
      <c r="W496" s="2620"/>
      <c r="X496" s="2620"/>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20" t="s">
        <v>592</v>
      </c>
      <c r="W498" s="2620"/>
      <c r="X498" s="2620"/>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592</v>
      </c>
      <c r="D501" s="2546"/>
      <c r="E501" s="761" t="s">
        <v>508</v>
      </c>
      <c r="F501" s="2547" t="s">
        <v>1518</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592</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592</v>
      </c>
      <c r="D505" s="2546"/>
      <c r="E505" s="761" t="s">
        <v>758</v>
      </c>
      <c r="F505" s="2617" t="s">
        <v>1540</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9" t="s">
        <v>592</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5" t="s">
        <v>592</v>
      </c>
      <c r="D510" s="2546"/>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9"/>
      <c r="D512" s="2610"/>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592</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592</v>
      </c>
      <c r="D515" s="2550"/>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592</v>
      </c>
      <c r="D519" s="2550"/>
      <c r="F519" s="795" t="s">
        <v>1548</v>
      </c>
      <c r="G519" s="2523" t="s">
        <v>1549</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592</v>
      </c>
      <c r="D523" s="2552"/>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592</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1561</v>
      </c>
      <c r="AF538" s="2409"/>
      <c r="AG538" s="2409"/>
      <c r="AH538" s="2409"/>
      <c r="AI538" s="2409"/>
      <c r="AJ538" s="2409"/>
      <c r="AK538" s="240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546</v>
      </c>
      <c r="D541" s="2476"/>
      <c r="E541" s="551"/>
      <c r="F541" s="2603" t="s">
        <v>1562</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592</v>
      </c>
      <c r="D544" s="2476"/>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1564</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1565</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Application!AJ992</f>
        <v>22573056</v>
      </c>
      <c r="AQ550" s="2625"/>
      <c r="AR550" s="2625"/>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'Sources and Uses Budget'!S107+'Sources and Uses Budget'!T107</f>
        <v>25015800</v>
      </c>
      <c r="AG551" s="2482"/>
      <c r="AH551" s="2482"/>
      <c r="AI551" s="2482"/>
      <c r="AJ551" s="2482"/>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IFERROR(AP559,0)</f>
        <v>32259530.16</v>
      </c>
      <c r="AG552" s="2630"/>
      <c r="AH552" s="2630"/>
      <c r="AI552" s="2630"/>
      <c r="AJ552" s="2630"/>
      <c r="AK552" s="595"/>
      <c r="AL552" s="595"/>
      <c r="AM552" s="595"/>
      <c r="AN552" s="597"/>
      <c r="AP552" s="2625">
        <f>Application!AJ1045</f>
        <v>2708766.7199999997</v>
      </c>
      <c r="AQ552" s="2625"/>
      <c r="AR552" s="2625"/>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IFERROR(ROUNDDOWN(IF(C544="YES",((1-(AF551/AF552))*2),(1-(AF551/AF552))),2),0)</f>
        <v>0.22</v>
      </c>
      <c r="AG553" s="2631"/>
      <c r="AH553" s="2631"/>
      <c r="AI553" s="2631"/>
      <c r="AJ553" s="2631"/>
      <c r="AK553" s="595"/>
      <c r="AL553" s="595"/>
      <c r="AM553" s="595"/>
      <c r="AN553" s="597"/>
      <c r="AP553" s="2628">
        <f>Application!AJ1049</f>
        <v>5417533.4399999995</v>
      </c>
      <c r="AQ553" s="2628"/>
      <c r="AR553" s="2628"/>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IF(((AP552+AP553)/AP550)&gt;0.8,0.8,((AP552+AP553)/AP550))</f>
        <v>0.36</v>
      </c>
      <c r="AQ554" s="2624"/>
      <c r="AR554" s="2624"/>
      <c r="AS554" s="550" t="s">
        <v>2172</v>
      </c>
    </row>
    <row r="555" spans="1:49" s="550" customFormat="1" ht="12.75" customHeight="1">
      <c r="A555" s="624"/>
      <c r="B555" s="2561" t="s">
        <v>2032</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AP557-AP552-AP553</f>
        <v>24133230</v>
      </c>
      <c r="AQ556" s="2534"/>
      <c r="AR556" s="2534"/>
      <c r="AS556" s="550" t="s">
        <v>2174</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Application!AJ1053</f>
        <v>32259530.159999996</v>
      </c>
      <c r="AQ557" s="2625"/>
      <c r="AR557" s="2625"/>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70">
        <f>IFERROR(IF(AND(C541="N/A",C544="N/A"),0,IF(AF553=0,0,IF((AF553*100)&gt;12,12,(AF553*100)))),0)</f>
        <v>12</v>
      </c>
      <c r="AL559" s="2570"/>
      <c r="AM559" s="2571"/>
      <c r="AN559" s="597"/>
      <c r="AP559" s="2642">
        <f>AP556+(AP550*AP554)</f>
        <v>32259530.16</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1315</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2023</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1339</v>
      </c>
      <c r="AG578" s="2444"/>
      <c r="AH578" s="2444"/>
      <c r="AI578" s="2444"/>
      <c r="AJ578" s="2444"/>
      <c r="AK578" s="2444"/>
      <c r="AL578" s="2444"/>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0</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1397</v>
      </c>
      <c r="AG585" s="2444"/>
      <c r="AH585" s="2444"/>
      <c r="AI585" s="2444"/>
      <c r="AJ585" s="2444"/>
      <c r="AK585" s="2444"/>
      <c r="AL585" s="2444"/>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0</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1379</v>
      </c>
      <c r="AG591" s="2444"/>
      <c r="AH591" s="2444"/>
      <c r="AI591" s="2444"/>
      <c r="AJ591" s="2444"/>
      <c r="AK591" s="2444"/>
      <c r="AL591" s="2444"/>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1400</v>
      </c>
      <c r="AG597" s="2444"/>
      <c r="AH597" s="2444"/>
      <c r="AI597" s="2444"/>
      <c r="AJ597" s="2444"/>
      <c r="AK597" s="2444"/>
      <c r="AL597" s="2444"/>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0" t="s">
        <v>1185</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1353</v>
      </c>
      <c r="AG603" s="2444"/>
      <c r="AH603" s="2444"/>
      <c r="AI603" s="2444"/>
      <c r="AJ603" s="2444"/>
      <c r="AK603" s="2444"/>
      <c r="AL603" s="2444"/>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8" t="s">
        <v>1398</v>
      </c>
      <c r="I606" s="2528"/>
      <c r="J606" s="936"/>
      <c r="K606" s="936"/>
      <c r="L606" s="936"/>
      <c r="N606" s="22"/>
      <c r="O606" s="22"/>
      <c r="P606" s="22"/>
      <c r="Q606" s="1151" t="s">
        <v>2177</v>
      </c>
      <c r="R606" s="2531" t="s">
        <v>2180</v>
      </c>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9" t="s">
        <v>592</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72" t="s">
        <v>592</v>
      </c>
      <c r="C616" s="2472"/>
      <c r="D616" s="642"/>
      <c r="E616" s="2499" t="s">
        <v>1404</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9">
        <f>VLOOKUP($H$606,$AO$586:$AP$591,2,FALSE)+IF(R606=AO594,0,VLOOKUP($I$614,$AO$613:$AP$615,2,FALSE))</f>
        <v>4</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7" t="s">
        <v>1695</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1353</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72" t="s">
        <v>592</v>
      </c>
      <c r="Y634" s="2472"/>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1409</v>
      </c>
      <c r="AG636" s="2444"/>
      <c r="AH636" s="2444"/>
      <c r="AI636" s="2444"/>
      <c r="AJ636" s="2444"/>
      <c r="AK636" s="2444"/>
      <c r="AL636" s="244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8" t="s">
        <v>688</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9">
        <f>VLOOKUP($H$638,$AO$605:$AP$607,2,FALSE)</f>
        <v>3</v>
      </c>
      <c r="AK640" s="2481"/>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9" t="s">
        <v>2098</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1353</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1409</v>
      </c>
      <c r="AG647" s="2444"/>
      <c r="AH647" s="2444"/>
      <c r="AI647" s="2444"/>
      <c r="AJ647" s="2444"/>
      <c r="AK647" s="2444"/>
      <c r="AL647" s="2444"/>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8" t="s">
        <v>592</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9">
        <f>VLOOKUP(H650,AT605:AU607,2,FALSE)</f>
        <v>0</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9" t="s">
        <v>1419</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1379</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9" t="s">
        <v>1420</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1400</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9" t="s">
        <v>1421</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1353</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592</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9" t="s">
        <v>1422</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1400</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9" t="s">
        <v>1423</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1353</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9" t="s">
        <v>1424</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1409</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9" t="s">
        <v>1425</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1426</v>
      </c>
      <c r="AG681" s="2444"/>
      <c r="AH681" s="2444"/>
      <c r="AI681" s="2444"/>
      <c r="AJ681" s="2444"/>
      <c r="AK681" s="2444"/>
      <c r="AL681" s="2444"/>
      <c r="AM681" s="596"/>
      <c r="AN681" s="597"/>
      <c r="AO681" s="611" t="s">
        <v>688</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8" t="s">
        <v>688</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9">
        <f>VLOOKUP($H$685,$AO$633:$AP$640,2,FALSE)</f>
        <v>5</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32</v>
      </c>
    </row>
    <row r="691" spans="1:51" s="550" customFormat="1" ht="12.75" customHeight="1">
      <c r="A691" s="679"/>
      <c r="B691" s="536"/>
      <c r="C691" s="948"/>
      <c r="D691" s="663" t="s">
        <v>688</v>
      </c>
      <c r="E691" s="2535" t="s">
        <v>2190</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1353</v>
      </c>
      <c r="AG691" s="2444"/>
      <c r="AH691" s="2444"/>
      <c r="AI691" s="2444"/>
      <c r="AJ691" s="2444"/>
      <c r="AK691" s="2444"/>
      <c r="AL691" s="2444"/>
      <c r="AN691" s="597"/>
      <c r="AW691" s="22" t="s">
        <v>2185</v>
      </c>
      <c r="AX691" s="550">
        <f>Application!DE753</f>
        <v>32</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9" t="s">
        <v>2134</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1353</v>
      </c>
      <c r="AG694" s="2444"/>
      <c r="AH694" s="2444"/>
      <c r="AI694" s="2444"/>
      <c r="AJ694" s="2444"/>
      <c r="AK694" s="2444"/>
      <c r="AL694" s="2444"/>
      <c r="AN694" s="597"/>
      <c r="AW694" s="22" t="s">
        <v>2188</v>
      </c>
      <c r="AX694" s="550">
        <f>AX691+AX692+AX693</f>
        <v>32</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IF(Application!D211="Special Needs",IF(AY695&gt;=0.25,TRUE,FALSE),IF(AX695&gt;=0.25,TRUE,FALSE))</f>
        <v>1</v>
      </c>
      <c r="AP695" s="2534"/>
      <c r="AW695" s="22" t="s">
        <v>2189</v>
      </c>
      <c r="AX695" s="550">
        <f>IFERROR(AX694/AX690,0)</f>
        <v>1</v>
      </c>
      <c r="AY695" s="550">
        <f>IFERROR(AX694/(AX690-AX689),0)</f>
        <v>1</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9" t="s">
        <v>2135</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1409</v>
      </c>
      <c r="AG699" s="2444"/>
      <c r="AH699" s="2444"/>
      <c r="AI699" s="2444"/>
      <c r="AJ699" s="2444"/>
      <c r="AK699" s="2444"/>
      <c r="AL699" s="2444"/>
      <c r="AN699" s="597"/>
      <c r="AO699" s="611" t="s">
        <v>510</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9" t="s">
        <v>1694</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8" t="s">
        <v>592</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9">
        <f>VLOOKUP($H$709,$AO$703:$AP$706,2,FALSE)</f>
        <v>0</v>
      </c>
      <c r="AK711" s="2481"/>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6" t="s">
        <v>1696</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1353</v>
      </c>
      <c r="AG715" s="2444"/>
      <c r="AH715" s="2444"/>
      <c r="AI715" s="2444"/>
      <c r="AJ715" s="2444"/>
      <c r="AK715" s="2444"/>
      <c r="AL715" s="2444"/>
      <c r="AM715" s="550"/>
      <c r="AN715" s="684"/>
      <c r="AP715" s="570" t="s">
        <v>1433</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1434</v>
      </c>
    </row>
    <row r="717" spans="1:43" s="570" customFormat="1" ht="14.1"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1435</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4.1" customHeight="1">
      <c r="A719" s="550"/>
      <c r="B719" s="536"/>
      <c r="C719" s="931"/>
      <c r="D719" s="663" t="s">
        <v>510</v>
      </c>
      <c r="E719" s="2537" t="s">
        <v>1436</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1409</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1401</v>
      </c>
      <c r="E723" s="936"/>
      <c r="F723" s="936"/>
      <c r="G723" s="936"/>
      <c r="H723" s="2528" t="s">
        <v>592</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9" t="s">
        <v>1697</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1353</v>
      </c>
      <c r="AG729" s="2444"/>
      <c r="AH729" s="2444"/>
      <c r="AI729" s="2444"/>
      <c r="AJ729" s="2444"/>
      <c r="AK729" s="2444"/>
      <c r="AL729" s="2444"/>
      <c r="AM729" s="550"/>
      <c r="AN729" s="684"/>
      <c r="AT729" s="14"/>
      <c r="AU729" s="14"/>
      <c r="AV729" s="14"/>
      <c r="AW729" s="14"/>
      <c r="AX729" s="14"/>
      <c r="AY729" s="14"/>
      <c r="AZ729" s="14"/>
    </row>
    <row r="730" spans="1:81" s="570" customFormat="1">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9" t="s">
        <v>1440</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1409</v>
      </c>
      <c r="AG732" s="2444"/>
      <c r="AH732" s="2444"/>
      <c r="AI732" s="2444"/>
      <c r="AJ732" s="2444"/>
      <c r="AK732" s="2444"/>
      <c r="AL732" s="2444"/>
      <c r="AM732" s="550"/>
      <c r="AN732" s="684"/>
      <c r="AT732" s="14"/>
      <c r="AU732" s="14"/>
      <c r="AV732" s="14"/>
      <c r="AW732" s="14"/>
      <c r="AX732" s="14"/>
      <c r="AY732" s="14"/>
      <c r="AZ732" s="14"/>
    </row>
    <row r="733" spans="1:81" s="570" customFormat="1">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8" t="s">
        <v>592</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9" t="s">
        <v>1443</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1353</v>
      </c>
      <c r="AG741" s="2444"/>
      <c r="AH741" s="2444"/>
      <c r="AI741" s="2444"/>
      <c r="AJ741" s="2444"/>
      <c r="AK741" s="2444"/>
      <c r="AL741" s="2444"/>
      <c r="AM741" s="550"/>
      <c r="AN741" s="684"/>
      <c r="AT741" s="14"/>
      <c r="AU741" s="14"/>
      <c r="AV741" s="14"/>
      <c r="AW741" s="14"/>
      <c r="AX741" s="14"/>
      <c r="AY741" s="14"/>
      <c r="AZ741" s="14"/>
    </row>
    <row r="742" spans="1:81" s="570" customFormat="1">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9" t="s">
        <v>1444</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1409</v>
      </c>
      <c r="AG746" s="2444"/>
      <c r="AH746" s="2444"/>
      <c r="AI746" s="2444"/>
      <c r="AJ746" s="2444"/>
      <c r="AK746" s="2444"/>
      <c r="AL746" s="2444"/>
      <c r="AM746" s="550"/>
      <c r="AN746" s="684"/>
      <c r="AO746" s="30"/>
      <c r="AP746" s="14"/>
    </row>
    <row r="747" spans="1:81" s="570" customFormat="1">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8" t="s">
        <v>510</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9">
        <f>VLOOKUP($H$751,$AO$680:$AP$682,2,FALSE)</f>
        <v>2</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9" t="s">
        <v>1446</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1409</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9" t="s">
        <v>1447</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1426</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8" t="s">
        <v>510</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9">
        <f>VLOOKUP($H$763,$AO$697:$AP$699,2,FALSE)</f>
        <v>1</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9" t="s">
        <v>1693</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1409</v>
      </c>
      <c r="AG769" s="2444"/>
      <c r="AH769" s="2444"/>
      <c r="AI769" s="2444"/>
      <c r="AJ769" s="2444"/>
      <c r="AK769" s="2444"/>
      <c r="AL769" s="2444"/>
      <c r="AM769" s="613"/>
      <c r="AN769" s="684"/>
      <c r="AO769" s="550" t="s">
        <v>592</v>
      </c>
      <c r="AP769" s="673">
        <v>0</v>
      </c>
    </row>
    <row r="770" spans="1:81" s="570" customFormat="1" ht="13.7"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8" t="s">
        <v>1698</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1353</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8" t="s">
        <v>592</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9">
        <f>VLOOKUP($H$779,$AO$769:$AP$771,2,FALSE)</f>
        <v>0</v>
      </c>
      <c r="AK781" s="248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9" t="s">
        <v>2033</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1353</v>
      </c>
      <c r="AG785" s="2444"/>
      <c r="AH785" s="2444"/>
      <c r="AI785" s="2444"/>
      <c r="AJ785" s="2444"/>
      <c r="AK785" s="2444"/>
      <c r="AL785" s="2444"/>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528" t="s">
        <v>592</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9">
        <f>VLOOKUP($H$790,$AO$784:$AP$785,2,FALSE)</f>
        <v>0</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9">
        <f>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1569</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5" t="s">
        <v>1570</v>
      </c>
      <c r="U802" s="2576"/>
      <c r="V802" s="2576"/>
      <c r="W802" s="2576"/>
      <c r="X802" s="2576"/>
      <c r="Y802" s="2577"/>
      <c r="Z802" s="2575" t="s">
        <v>1571</v>
      </c>
      <c r="AA802" s="2576"/>
      <c r="AB802" s="2576"/>
      <c r="AC802" s="2576"/>
      <c r="AD802" s="2576"/>
      <c r="AE802" s="2577"/>
      <c r="AF802" s="2575" t="s">
        <v>1572</v>
      </c>
      <c r="AG802" s="2576"/>
      <c r="AH802" s="2576"/>
      <c r="AI802" s="2576"/>
      <c r="AJ802" s="2576"/>
      <c r="AK802" s="257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c r="A804" s="819" t="s">
        <v>758</v>
      </c>
      <c r="B804" s="2555" t="s">
        <v>1305</v>
      </c>
      <c r="C804" s="2555"/>
      <c r="D804" s="2555"/>
      <c r="E804" s="2555"/>
      <c r="F804" s="2555"/>
      <c r="G804" s="2555"/>
      <c r="H804" s="2555"/>
      <c r="I804" s="2555"/>
      <c r="J804" s="2555"/>
      <c r="K804" s="2555"/>
      <c r="L804" s="2555"/>
      <c r="M804" s="2555"/>
      <c r="N804" s="2555"/>
      <c r="O804" s="2555"/>
      <c r="P804" s="2555"/>
      <c r="Q804" s="2555"/>
      <c r="R804" s="2555"/>
      <c r="S804" s="2556"/>
      <c r="T804" s="2557">
        <f>AK62</f>
        <v>0</v>
      </c>
      <c r="U804" s="2558"/>
      <c r="V804" s="2558"/>
      <c r="W804" s="2558"/>
      <c r="X804" s="2558"/>
      <c r="Y804" s="2559"/>
      <c r="Z804" s="2560">
        <v>20</v>
      </c>
      <c r="AA804" s="2558"/>
      <c r="AB804" s="2558"/>
      <c r="AC804" s="2558"/>
      <c r="AD804" s="2558"/>
      <c r="AE804" s="2559"/>
      <c r="AF804" s="2541">
        <f>IF(T804&gt;Z804,Z804,T804)</f>
        <v>0</v>
      </c>
      <c r="AG804" s="2541"/>
      <c r="AH804" s="2541"/>
      <c r="AI804" s="2541"/>
      <c r="AJ804" s="2541"/>
      <c r="AK804" s="2541"/>
      <c r="AL804" s="818"/>
      <c r="AM804" s="596"/>
      <c r="AO804" s="816"/>
      <c r="AP804" s="816"/>
      <c r="AQ804" s="816"/>
    </row>
    <row r="805" spans="1:81">
      <c r="A805" s="819" t="s">
        <v>1542</v>
      </c>
      <c r="B805" s="2555" t="s">
        <v>1314</v>
      </c>
      <c r="C805" s="2555"/>
      <c r="D805" s="2555"/>
      <c r="E805" s="2555"/>
      <c r="F805" s="2555"/>
      <c r="G805" s="2555"/>
      <c r="H805" s="2555"/>
      <c r="I805" s="2555"/>
      <c r="J805" s="2555"/>
      <c r="K805" s="2555"/>
      <c r="L805" s="2555"/>
      <c r="M805" s="2555"/>
      <c r="N805" s="2555"/>
      <c r="O805" s="2555"/>
      <c r="P805" s="2555"/>
      <c r="Q805" s="2555"/>
      <c r="R805" s="2555"/>
      <c r="S805" s="2556"/>
      <c r="T805" s="2557">
        <f>AK84</f>
        <v>10</v>
      </c>
      <c r="U805" s="2558"/>
      <c r="V805" s="2558"/>
      <c r="W805" s="2558"/>
      <c r="X805" s="2558"/>
      <c r="Y805" s="2559"/>
      <c r="Z805" s="2560">
        <v>10</v>
      </c>
      <c r="AA805" s="2558"/>
      <c r="AB805" s="2558"/>
      <c r="AC805" s="2558"/>
      <c r="AD805" s="2558"/>
      <c r="AE805" s="2559"/>
      <c r="AF805" s="2541">
        <f>IF(T805&gt;Z805,Z805,T805)</f>
        <v>10</v>
      </c>
      <c r="AG805" s="2541"/>
      <c r="AH805" s="2541"/>
      <c r="AI805" s="2541"/>
      <c r="AJ805" s="2541"/>
      <c r="AK805" s="2541"/>
      <c r="AL805" s="818"/>
      <c r="AM805" s="596"/>
      <c r="AO805" s="816"/>
      <c r="AP805" s="816"/>
      <c r="AQ805" s="816"/>
    </row>
    <row r="806" spans="1:81">
      <c r="A806" s="819" t="s">
        <v>1551</v>
      </c>
      <c r="B806" s="2555" t="s">
        <v>1324</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c r="A807" s="819" t="s">
        <v>1573</v>
      </c>
      <c r="B807" s="2555" t="s">
        <v>1334</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8"/>
      <c r="AM807" s="596"/>
      <c r="AO807" s="816"/>
      <c r="AP807" s="816"/>
      <c r="AQ807" s="816"/>
    </row>
    <row r="808" spans="1:81">
      <c r="A808" s="820" t="s">
        <v>1574</v>
      </c>
      <c r="B808" s="2555" t="s">
        <v>1575</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c r="A809" s="535"/>
      <c r="B809" s="601"/>
      <c r="C809" s="2582" t="s">
        <v>1576</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c r="A810" s="600"/>
      <c r="B810" s="601"/>
      <c r="C810" s="2582" t="s">
        <v>1577</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c r="A811" s="820" t="s">
        <v>1362</v>
      </c>
      <c r="B811" s="2555" t="s">
        <v>1578</v>
      </c>
      <c r="C811" s="2555"/>
      <c r="D811" s="2555"/>
      <c r="E811" s="2555"/>
      <c r="F811" s="2555"/>
      <c r="G811" s="2555"/>
      <c r="H811" s="2555"/>
      <c r="I811" s="2555"/>
      <c r="J811" s="2555"/>
      <c r="K811" s="2555"/>
      <c r="L811" s="2555"/>
      <c r="M811" s="2555"/>
      <c r="N811" s="2555"/>
      <c r="O811" s="2555"/>
      <c r="P811" s="2555"/>
      <c r="Q811" s="2555"/>
      <c r="R811" s="2555"/>
      <c r="S811" s="2556"/>
      <c r="T811" s="2581">
        <f>AK191</f>
        <v>10</v>
      </c>
      <c r="U811" s="2581"/>
      <c r="V811" s="2581"/>
      <c r="W811" s="2581"/>
      <c r="X811" s="2581"/>
      <c r="Y811" s="2581"/>
      <c r="Z811" s="2541">
        <v>10</v>
      </c>
      <c r="AA811" s="2541"/>
      <c r="AB811" s="2541"/>
      <c r="AC811" s="2541"/>
      <c r="AD811" s="2541"/>
      <c r="AE811" s="2541"/>
      <c r="AF811" s="2541">
        <f>IF(T811&gt;Z811,Z811,T811)</f>
        <v>10</v>
      </c>
      <c r="AG811" s="2541"/>
      <c r="AH811" s="2541"/>
      <c r="AI811" s="2541"/>
      <c r="AJ811" s="2541"/>
      <c r="AK811" s="2541"/>
      <c r="AL811" s="818"/>
      <c r="AM811" s="596"/>
    </row>
    <row r="812" spans="1:81">
      <c r="A812" s="819" t="s">
        <v>1371</v>
      </c>
      <c r="B812" s="2555" t="s">
        <v>1372</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8"/>
      <c r="AM812" s="596"/>
    </row>
    <row r="813" spans="1:81" s="534" customFormat="1" hidden="1">
      <c r="A813" s="820" t="s">
        <v>590</v>
      </c>
      <c r="B813" s="2555" t="s">
        <v>1579</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555" t="s">
        <v>1580</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555" t="s">
        <v>1382</v>
      </c>
      <c r="C815" s="2555"/>
      <c r="D815" s="2555"/>
      <c r="E815" s="2555"/>
      <c r="F815" s="2555"/>
      <c r="G815" s="2555"/>
      <c r="H815" s="2555"/>
      <c r="I815" s="2555"/>
      <c r="J815" s="2555"/>
      <c r="K815" s="2555"/>
      <c r="L815" s="2555"/>
      <c r="M815" s="2555"/>
      <c r="N815" s="2555"/>
      <c r="O815" s="2555"/>
      <c r="P815" s="2555"/>
      <c r="Q815" s="2555"/>
      <c r="R815" s="2555"/>
      <c r="S815" s="2556"/>
      <c r="T815" s="2581">
        <f>AK338</f>
        <v>9</v>
      </c>
      <c r="U815" s="2581"/>
      <c r="V815" s="2581"/>
      <c r="W815" s="2581"/>
      <c r="X815" s="2581"/>
      <c r="Y815" s="2581"/>
      <c r="Z815" s="2587">
        <v>10</v>
      </c>
      <c r="AA815" s="2588"/>
      <c r="AB815" s="2588"/>
      <c r="AC815" s="2588"/>
      <c r="AD815" s="2588"/>
      <c r="AE815" s="2589"/>
      <c r="AF815" s="2587">
        <f>IF(T815&gt;Z815,Z815,T815)</f>
        <v>9</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4">
        <f>AK338</f>
        <v>9</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555" t="s">
        <v>846</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555" t="s">
        <v>1560</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5" t="s">
        <v>1582</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5" t="s">
        <v>1583</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1584</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0" t="s">
        <v>1585</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119</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2024-12-09T20:28:29Z</cp:lastPrinted>
  <dcterms:created xsi:type="dcterms:W3CDTF">2007-12-27T18:26:28Z</dcterms:created>
  <dcterms:modified xsi:type="dcterms:W3CDTF">2025-09-12T19:04:58Z</dcterms:modified>
</cp:coreProperties>
</file>